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6.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xml"/>
  <Override PartName="/xl/comments1.xml" ContentType="application/vnd.openxmlformats-officedocument.spreadsheetml.comment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6.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17.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18.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1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0.xml" ContentType="application/vnd.openxmlformats-officedocument.drawing+xml"/>
  <Override PartName="/xl/comments2.xml" ContentType="application/vnd.openxmlformats-officedocument.spreadsheetml.comments+xml"/>
  <Override PartName="/xl/charts/chart51.xml" ContentType="application/vnd.openxmlformats-officedocument.drawingml.chart+xml"/>
  <Override PartName="/xl/charts/chart52.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style1.xml" ContentType="application/vnd.ms-office.chartstyle+xml"/>
  <Override PartName="/xl/charts/colors1.xml" ContentType="application/vnd.ms-office.chartcolorstyle+xml"/>
  <Override PartName="/xl/charts/chart5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xml"/>
  <Override PartName="/xl/comments3.xml" ContentType="application/vnd.openxmlformats-officedocument.spreadsheetml.comments+xml"/>
  <Override PartName="/xl/charts/chart55.xml" ContentType="application/vnd.openxmlformats-officedocument.drawingml.chart+xml"/>
  <Override PartName="/xl/charts/style3.xml" ContentType="application/vnd.ms-office.chartstyle+xml"/>
  <Override PartName="/xl/charts/colors3.xml" ContentType="application/vnd.ms-office.chartcolorstyle+xml"/>
  <Override PartName="/xl/charts/chart5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fileSharing readOnlyRecommended="1"/>
  <workbookPr showInkAnnotation="0"/>
  <mc:AlternateContent xmlns:mc="http://schemas.openxmlformats.org/markup-compatibility/2006">
    <mc:Choice Requires="x15">
      <x15ac:absPath xmlns:x15ac="http://schemas.microsoft.com/office/spreadsheetml/2010/11/ac" url="/Users/Mark/Downloads/"/>
    </mc:Choice>
  </mc:AlternateContent>
  <xr:revisionPtr revIDLastSave="0" documentId="8_{6A26AFA5-FBBC-744E-BE36-0DD2F620EC8F}" xr6:coauthVersionLast="47" xr6:coauthVersionMax="47" xr10:uidLastSave="{00000000-0000-0000-0000-000000000000}"/>
  <workbookProtection workbookAlgorithmName="SHA-512" workbookHashValue="y+axIWMchI7sWMf8dxvKi7+6JizHX5lYg8FKoX7JXN/35DSGOreH8y3ruR6zwc7SB+CJ48vi9uUUfxjzt6EDNA==" workbookSaltValue="Rffk2qUucQN5G6++MrGWdA==" workbookSpinCount="100000" lockStructure="1"/>
  <bookViews>
    <workbookView xWindow="4480" yWindow="500" windowWidth="39760" windowHeight="24960" activeTab="22" xr2:uid="{679A81C1-C623-4B4E-A588-9B65D173BE34}"/>
  </bookViews>
  <sheets>
    <sheet name="Uitleg" sheetId="7" state="hidden" r:id="rId1"/>
    <sheet name="Energiestromen" sheetId="8" state="hidden" r:id="rId2"/>
    <sheet name="3.A.1 Emissie inventaris" sheetId="17" state="hidden" r:id="rId3"/>
    <sheet name="Footprint 2012" sheetId="23" state="hidden" r:id="rId4"/>
    <sheet name="Footprint 2013-H1" sheetId="25" state="hidden" r:id="rId5"/>
    <sheet name="Footprint 2013" sheetId="22" state="hidden" r:id="rId6"/>
    <sheet name="Footprint 2014-H1" sheetId="26" state="hidden" r:id="rId7"/>
    <sheet name="Footprint 2014" sheetId="21" state="hidden" r:id="rId8"/>
    <sheet name="Footprint 2015-H1" sheetId="24" state="hidden" r:id="rId9"/>
    <sheet name="Footprint 2015" sheetId="20" state="hidden" r:id="rId10"/>
    <sheet name="Footprint 2016-H1" sheetId="18" state="hidden" r:id="rId11"/>
    <sheet name="Footprint 2016" sheetId="27" state="hidden" r:id="rId12"/>
    <sheet name="Footprint 2017- H1" sheetId="31" state="hidden" r:id="rId13"/>
    <sheet name="Footprint 2017" sheetId="32" r:id="rId14"/>
    <sheet name="Footprint 2018 H1" sheetId="33" state="hidden" r:id="rId15"/>
    <sheet name="Footprint 2018" sheetId="34" r:id="rId16"/>
    <sheet name="Footprint 2019 h1" sheetId="36" state="hidden" r:id="rId17"/>
    <sheet name="Footprint 2019" sheetId="37" r:id="rId18"/>
    <sheet name="Footprint 2020" sheetId="38" r:id="rId19"/>
    <sheet name="Footprint 2021" sheetId="39" r:id="rId20"/>
    <sheet name="Footprint 2022" sheetId="40" r:id="rId21"/>
    <sheet name="Footprint 2023" sheetId="41" r:id="rId22"/>
    <sheet name="Footprint 2024" sheetId="43" r:id="rId23"/>
    <sheet name="Infographic" sheetId="42" r:id="rId24"/>
    <sheet name="Trendlijn" sheetId="16" r:id="rId25"/>
    <sheet name="Brandstof" sheetId="35" state="hidden" r:id="rId26"/>
    <sheet name="Meterstanden" sheetId="29" state="hidden" r:id="rId27"/>
    <sheet name="Elektra en gas 2012" sheetId="28" state="hidden" r:id="rId28"/>
  </sheets>
  <externalReferences>
    <externalReference r:id="rId29"/>
  </externalReferences>
  <definedNames>
    <definedName name="_GoBack" localSheetId="2">'3.A.1 Emissie inventaris'!$B$33</definedName>
    <definedName name="Aanwezig" localSheetId="2">[1]Uitleg!$A$11:$A$14</definedName>
    <definedName name="Aanwezig">Uitleg!$A$13:$A$16</definedName>
    <definedName name="_xlnm.Print_Area" localSheetId="27">'Elektra en gas 2012'!$A$1:$F$53</definedName>
    <definedName name="_xlnm.Print_Area" localSheetId="23">Infographic!$A$1:$R$63</definedName>
    <definedName name="_xlnm.Print_Area" localSheetId="26">Meterstanden!$A$1:$L$29</definedName>
    <definedName name="categorie" localSheetId="2">#REF!</definedName>
    <definedName name="categorie" localSheetId="3">#REF!</definedName>
    <definedName name="categorie" localSheetId="5">#REF!</definedName>
    <definedName name="categorie" localSheetId="4">#REF!</definedName>
    <definedName name="categorie" localSheetId="7">#REF!</definedName>
    <definedName name="categorie" localSheetId="6">#REF!</definedName>
    <definedName name="categorie" localSheetId="9">#REF!</definedName>
    <definedName name="categorie" localSheetId="8">#REF!</definedName>
    <definedName name="categorie" localSheetId="11">#REF!</definedName>
    <definedName name="categorie" localSheetId="10">#REF!</definedName>
    <definedName name="categorie" localSheetId="13">#REF!</definedName>
    <definedName name="categorie" localSheetId="12">#REF!</definedName>
    <definedName name="categorie" localSheetId="15">#REF!</definedName>
    <definedName name="categorie" localSheetId="14">#REF!</definedName>
    <definedName name="categorie" localSheetId="18">#REF!</definedName>
    <definedName name="categorie" localSheetId="19">#REF!</definedName>
    <definedName name="categorie" localSheetId="20">#REF!</definedName>
    <definedName name="categorie" localSheetId="21">#REF!</definedName>
    <definedName name="categorie" localSheetId="22">#REF!</definedName>
    <definedName name="categorie" localSheetId="24">#REF!</definedName>
    <definedName name="categorie">#REF!</definedName>
    <definedName name="categorierit" localSheetId="2">#REF!</definedName>
    <definedName name="categorierit" localSheetId="3">#REF!</definedName>
    <definedName name="categorierit" localSheetId="5">#REF!</definedName>
    <definedName name="categorierit" localSheetId="4">#REF!</definedName>
    <definedName name="categorierit" localSheetId="7">#REF!</definedName>
    <definedName name="categorierit" localSheetId="6">#REF!</definedName>
    <definedName name="categorierit" localSheetId="9">#REF!</definedName>
    <definedName name="categorierit" localSheetId="8">#REF!</definedName>
    <definedName name="categorierit" localSheetId="11">#REF!</definedName>
    <definedName name="categorierit" localSheetId="10">#REF!</definedName>
    <definedName name="categorierit" localSheetId="13">#REF!</definedName>
    <definedName name="categorierit" localSheetId="12">#REF!</definedName>
    <definedName name="categorierit" localSheetId="15">#REF!</definedName>
    <definedName name="categorierit" localSheetId="14">#REF!</definedName>
    <definedName name="categorierit" localSheetId="18">#REF!</definedName>
    <definedName name="categorierit" localSheetId="19">#REF!</definedName>
    <definedName name="categorierit" localSheetId="20">#REF!</definedName>
    <definedName name="categorierit" localSheetId="21">#REF!</definedName>
    <definedName name="categorierit" localSheetId="22">#REF!</definedName>
    <definedName name="categorierit" localSheetId="24">#REF!</definedName>
    <definedName name="categorierit">#REF!</definedName>
    <definedName name="totaal_aantal_km" localSheetId="2">#REF!</definedName>
    <definedName name="totaal_aantal_km" localSheetId="3">#REF!</definedName>
    <definedName name="totaal_aantal_km" localSheetId="5">#REF!</definedName>
    <definedName name="totaal_aantal_km" localSheetId="4">#REF!</definedName>
    <definedName name="totaal_aantal_km" localSheetId="7">#REF!</definedName>
    <definedName name="totaal_aantal_km" localSheetId="6">#REF!</definedName>
    <definedName name="totaal_aantal_km" localSheetId="9">#REF!</definedName>
    <definedName name="totaal_aantal_km" localSheetId="8">#REF!</definedName>
    <definedName name="totaal_aantal_km" localSheetId="11">#REF!</definedName>
    <definedName name="totaal_aantal_km" localSheetId="10">#REF!</definedName>
    <definedName name="totaal_aantal_km" localSheetId="13">#REF!</definedName>
    <definedName name="totaal_aantal_km" localSheetId="12">#REF!</definedName>
    <definedName name="totaal_aantal_km" localSheetId="15">#REF!</definedName>
    <definedName name="totaal_aantal_km" localSheetId="14">#REF!</definedName>
    <definedName name="totaal_aantal_km" localSheetId="18">#REF!</definedName>
    <definedName name="totaal_aantal_km" localSheetId="19">#REF!</definedName>
    <definedName name="totaal_aantal_km" localSheetId="20">#REF!</definedName>
    <definedName name="totaal_aantal_km" localSheetId="21">#REF!</definedName>
    <definedName name="totaal_aantal_km" localSheetId="22">#REF!</definedName>
    <definedName name="totaal_aantal_km" localSheetId="24">#REF!</definedName>
    <definedName name="totaal_aantal_km">#REF!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43" l="1"/>
  <c r="U38" i="16"/>
  <c r="T38" i="16"/>
  <c r="S38" i="16"/>
  <c r="R38" i="16"/>
  <c r="Q38" i="16"/>
  <c r="O38" i="16"/>
  <c r="M38" i="16"/>
  <c r="A38" i="16"/>
  <c r="H22" i="43" l="1"/>
  <c r="D19" i="43"/>
  <c r="V19" i="16" l="1"/>
  <c r="H38" i="43"/>
  <c r="V38" i="16"/>
  <c r="W19" i="16"/>
  <c r="X19" i="16" s="1"/>
  <c r="H36" i="43"/>
  <c r="U26" i="16"/>
  <c r="W29" i="16"/>
  <c r="X29" i="16" s="1"/>
  <c r="W28" i="16"/>
  <c r="X28" i="16" s="1"/>
  <c r="D17" i="43"/>
  <c r="V45" i="16"/>
  <c r="D25" i="43" l="1"/>
  <c r="V26" i="16" s="1"/>
  <c r="W26" i="16" l="1"/>
  <c r="X26" i="16" s="1"/>
  <c r="D18" i="43"/>
  <c r="H25" i="43"/>
  <c r="V13" i="16" s="1"/>
  <c r="H23" i="43"/>
  <c r="H19" i="43"/>
  <c r="V17" i="16" s="1"/>
  <c r="H18" i="43"/>
  <c r="V16" i="16" s="1"/>
  <c r="H17" i="43"/>
  <c r="V15" i="16" s="1"/>
  <c r="H15" i="43"/>
  <c r="H13" i="43"/>
  <c r="C4" i="43"/>
  <c r="C3" i="43"/>
  <c r="G15" i="41"/>
  <c r="V20" i="16" l="1"/>
  <c r="V33" i="16" s="1"/>
  <c r="V39" i="16"/>
  <c r="H37" i="43"/>
  <c r="V22" i="16"/>
  <c r="H34" i="43"/>
  <c r="V12" i="16"/>
  <c r="V36" i="16" s="1"/>
  <c r="V37" i="16"/>
  <c r="V23" i="16"/>
  <c r="H35" i="43"/>
  <c r="H30" i="43"/>
  <c r="H27" i="43"/>
  <c r="I38" i="43" s="1"/>
  <c r="H31" i="43"/>
  <c r="H32" i="43"/>
  <c r="U20" i="16"/>
  <c r="U16" i="16"/>
  <c r="U13" i="16"/>
  <c r="G31" i="41"/>
  <c r="C24" i="41"/>
  <c r="G24" i="41" s="1"/>
  <c r="C22" i="41"/>
  <c r="C18" i="41"/>
  <c r="G18" i="41" s="1"/>
  <c r="C17" i="41"/>
  <c r="G17" i="41" s="1"/>
  <c r="U15" i="16" s="1"/>
  <c r="C13" i="41"/>
  <c r="G22" i="41"/>
  <c r="G30" i="41" s="1"/>
  <c r="G19" i="41"/>
  <c r="U17" i="16" s="1"/>
  <c r="U12" i="16"/>
  <c r="G13" i="41"/>
  <c r="U22" i="16" s="1"/>
  <c r="B4" i="41"/>
  <c r="B3" i="41"/>
  <c r="C13" i="16"/>
  <c r="E13" i="16" s="1"/>
  <c r="G13" i="16" s="1"/>
  <c r="I13" i="16" s="1"/>
  <c r="K13" i="16" s="1"/>
  <c r="M13" i="16" s="1"/>
  <c r="O13" i="16" s="1"/>
  <c r="G27" i="23"/>
  <c r="G21" i="23"/>
  <c r="G24" i="40"/>
  <c r="G31" i="40" s="1"/>
  <c r="J17" i="43" l="1"/>
  <c r="J22" i="43"/>
  <c r="J23" i="43"/>
  <c r="W13" i="16"/>
  <c r="X13" i="16" s="1"/>
  <c r="V40" i="16"/>
  <c r="V32" i="16"/>
  <c r="V50" i="16"/>
  <c r="U33" i="16"/>
  <c r="U39" i="16"/>
  <c r="U40" i="16"/>
  <c r="U37" i="16"/>
  <c r="J15" i="43"/>
  <c r="J18" i="43"/>
  <c r="I37" i="43"/>
  <c r="J19" i="43"/>
  <c r="I34" i="43"/>
  <c r="J25" i="43"/>
  <c r="I36" i="43"/>
  <c r="I35" i="43"/>
  <c r="U32" i="16"/>
  <c r="U36" i="16"/>
  <c r="G33" i="41"/>
  <c r="U23" i="16"/>
  <c r="G29" i="41"/>
  <c r="G34" i="41"/>
  <c r="G36" i="41"/>
  <c r="G26" i="41"/>
  <c r="G35" i="41"/>
  <c r="Q13" i="16"/>
  <c r="C17" i="40"/>
  <c r="G17" i="40" s="1"/>
  <c r="T15" i="16" s="1"/>
  <c r="C18" i="40"/>
  <c r="G18" i="40" s="1"/>
  <c r="T26" i="16"/>
  <c r="C13" i="40"/>
  <c r="G13" i="40" s="1"/>
  <c r="G22" i="40"/>
  <c r="G35" i="40" s="1"/>
  <c r="G19" i="40"/>
  <c r="T17" i="16" s="1"/>
  <c r="G15" i="40"/>
  <c r="T12" i="16" s="1"/>
  <c r="B4" i="40"/>
  <c r="B3" i="40"/>
  <c r="C16" i="39"/>
  <c r="G16" i="39" s="1"/>
  <c r="S15" i="16" s="1"/>
  <c r="C17" i="39"/>
  <c r="G17" i="39" s="1"/>
  <c r="S16" i="16" s="1"/>
  <c r="C12" i="39"/>
  <c r="G12" i="39" s="1"/>
  <c r="S22" i="16" s="1"/>
  <c r="C21" i="39"/>
  <c r="G21" i="39" s="1"/>
  <c r="S20" i="16" s="1"/>
  <c r="G18" i="39"/>
  <c r="S17" i="16" s="1"/>
  <c r="G14" i="39"/>
  <c r="S12" i="16" s="1"/>
  <c r="B4" i="39"/>
  <c r="B3" i="39"/>
  <c r="V49" i="16" l="1"/>
  <c r="V46" i="16"/>
  <c r="U49" i="16"/>
  <c r="U50" i="16"/>
  <c r="U46" i="16"/>
  <c r="I22" i="41"/>
  <c r="I19" i="41"/>
  <c r="I24" i="41"/>
  <c r="I17" i="41"/>
  <c r="I15" i="41"/>
  <c r="I13" i="41"/>
  <c r="H35" i="41"/>
  <c r="H33" i="41"/>
  <c r="H36" i="41"/>
  <c r="H34" i="41"/>
  <c r="I18" i="41"/>
  <c r="T16" i="16"/>
  <c r="T37" i="16" s="1"/>
  <c r="R13" i="16"/>
  <c r="G36" i="40"/>
  <c r="G26" i="40"/>
  <c r="I24" i="40" s="1"/>
  <c r="T22" i="16"/>
  <c r="T40" i="16" s="1"/>
  <c r="T49" i="16" s="1"/>
  <c r="T20" i="16"/>
  <c r="G34" i="40"/>
  <c r="G30" i="40"/>
  <c r="G33" i="40"/>
  <c r="G29" i="40"/>
  <c r="S37" i="16"/>
  <c r="S39" i="16"/>
  <c r="S40" i="16"/>
  <c r="S32" i="16"/>
  <c r="G31" i="39"/>
  <c r="G25" i="39"/>
  <c r="G22" i="39"/>
  <c r="I14" i="39" s="1"/>
  <c r="G29" i="39"/>
  <c r="G26" i="39"/>
  <c r="G30" i="39"/>
  <c r="G28" i="39"/>
  <c r="G18" i="38"/>
  <c r="G14" i="38"/>
  <c r="C17" i="38"/>
  <c r="G17" i="38" s="1"/>
  <c r="I18" i="40" l="1"/>
  <c r="T32" i="16"/>
  <c r="S13" i="16"/>
  <c r="H35" i="40"/>
  <c r="H33" i="40"/>
  <c r="H34" i="40"/>
  <c r="H36" i="40"/>
  <c r="T39" i="16"/>
  <c r="T50" i="16" s="1"/>
  <c r="I13" i="40"/>
  <c r="I22" i="40"/>
  <c r="I17" i="40"/>
  <c r="I19" i="40"/>
  <c r="I15" i="40"/>
  <c r="R16" i="16"/>
  <c r="S49" i="16"/>
  <c r="R12" i="16"/>
  <c r="R36" i="16" s="1"/>
  <c r="R17" i="16"/>
  <c r="S50" i="16"/>
  <c r="H29" i="39"/>
  <c r="H28" i="39"/>
  <c r="I21" i="39"/>
  <c r="I16" i="39"/>
  <c r="H30" i="39"/>
  <c r="I18" i="39"/>
  <c r="H31" i="39"/>
  <c r="I17" i="39"/>
  <c r="I12" i="39"/>
  <c r="C16" i="38"/>
  <c r="G16" i="38" s="1"/>
  <c r="S33" i="16" l="1"/>
  <c r="T13" i="16"/>
  <c r="S36" i="16"/>
  <c r="S46" i="16" s="1"/>
  <c r="S23" i="16"/>
  <c r="R15" i="16"/>
  <c r="R37" i="16" s="1"/>
  <c r="R46" i="16"/>
  <c r="C12" i="38"/>
  <c r="G12" i="38" s="1"/>
  <c r="G46" i="29"/>
  <c r="C21" i="38" s="1"/>
  <c r="G29" i="38"/>
  <c r="G28" i="38"/>
  <c r="B4" i="38"/>
  <c r="B3" i="38"/>
  <c r="T33" i="16" l="1"/>
  <c r="T36" i="16"/>
  <c r="T46" i="16" s="1"/>
  <c r="T23" i="16"/>
  <c r="R22" i="16"/>
  <c r="G21" i="38"/>
  <c r="G25" i="38"/>
  <c r="G31" i="38"/>
  <c r="R20" i="16" l="1"/>
  <c r="R23" i="16" s="1"/>
  <c r="G30" i="38"/>
  <c r="R40" i="16"/>
  <c r="R32" i="16"/>
  <c r="G26" i="38"/>
  <c r="G22" i="38"/>
  <c r="C12" i="37"/>
  <c r="R39" i="16" l="1"/>
  <c r="R50" i="16" s="1"/>
  <c r="R33" i="16"/>
  <c r="H29" i="38"/>
  <c r="I17" i="38"/>
  <c r="I18" i="38"/>
  <c r="I14" i="38"/>
  <c r="I16" i="38"/>
  <c r="I12" i="38"/>
  <c r="I21" i="38"/>
  <c r="H30" i="38"/>
  <c r="H28" i="38"/>
  <c r="H31" i="38"/>
  <c r="R49" i="16"/>
  <c r="F43" i="29"/>
  <c r="I33" i="29"/>
  <c r="I34" i="29" s="1"/>
  <c r="M39" i="29" l="1"/>
  <c r="M38" i="29"/>
  <c r="B4" i="35"/>
  <c r="B6" i="35" s="1"/>
  <c r="G12" i="37" l="1"/>
  <c r="Q22" i="16" s="1"/>
  <c r="Q40" i="16" s="1"/>
  <c r="Q49" i="16" s="1"/>
  <c r="C16" i="37"/>
  <c r="G31" i="37" l="1"/>
  <c r="AC53" i="16"/>
  <c r="AD53" i="16" s="1"/>
  <c r="W27" i="16"/>
  <c r="X27" i="16" s="1"/>
  <c r="F33" i="29"/>
  <c r="D33" i="29"/>
  <c r="G33" i="29" s="1"/>
  <c r="G34" i="29" s="1"/>
  <c r="C17" i="37"/>
  <c r="G39" i="29" l="1"/>
  <c r="G38" i="29"/>
  <c r="C21" i="37"/>
  <c r="G21" i="37" s="1"/>
  <c r="B4" i="16"/>
  <c r="G16" i="37"/>
  <c r="G17" i="37"/>
  <c r="Q16" i="16" s="1"/>
  <c r="G18" i="37"/>
  <c r="Q17" i="16" s="1"/>
  <c r="G14" i="37"/>
  <c r="G28" i="37" s="1"/>
  <c r="B4" i="37"/>
  <c r="B3" i="37"/>
  <c r="G15" i="36"/>
  <c r="I31" i="29"/>
  <c r="I32" i="29" s="1"/>
  <c r="C19" i="36" s="1"/>
  <c r="G19" i="36" s="1"/>
  <c r="P22" i="16" s="1"/>
  <c r="P40" i="16" s="1"/>
  <c r="P49" i="16" s="1"/>
  <c r="F31" i="29"/>
  <c r="D31" i="29"/>
  <c r="C14" i="36"/>
  <c r="C13" i="36"/>
  <c r="G13" i="36" s="1"/>
  <c r="P15" i="16" s="1"/>
  <c r="C13" i="34"/>
  <c r="C14" i="33"/>
  <c r="G14" i="33" s="1"/>
  <c r="G14" i="36"/>
  <c r="P16" i="16" s="1"/>
  <c r="G11" i="36"/>
  <c r="P12" i="16" s="1"/>
  <c r="P36" i="16" s="1"/>
  <c r="H20" i="36"/>
  <c r="B4" i="36"/>
  <c r="B3" i="36"/>
  <c r="O27" i="16"/>
  <c r="G13" i="34"/>
  <c r="O15" i="16" s="1"/>
  <c r="I52" i="16"/>
  <c r="Z52" i="16" s="1"/>
  <c r="C14" i="34"/>
  <c r="G14" i="34" s="1"/>
  <c r="C13" i="33"/>
  <c r="G13" i="33" s="1"/>
  <c r="I30" i="29"/>
  <c r="C19" i="34" s="1"/>
  <c r="G19" i="34" s="1"/>
  <c r="G29" i="29"/>
  <c r="G30" i="29" s="1"/>
  <c r="C17" i="34" s="1"/>
  <c r="G17" i="34" s="1"/>
  <c r="C11" i="32"/>
  <c r="G11" i="32" s="1"/>
  <c r="I25" i="29"/>
  <c r="I26" i="29" s="1"/>
  <c r="C19" i="33" s="1"/>
  <c r="G19" i="33" s="1"/>
  <c r="F24" i="29"/>
  <c r="D24" i="29"/>
  <c r="D22" i="29"/>
  <c r="F22" i="29"/>
  <c r="I22" i="29"/>
  <c r="I23" i="29" s="1"/>
  <c r="C19" i="32" s="1"/>
  <c r="C14" i="32"/>
  <c r="G14" i="32" s="1"/>
  <c r="C13" i="32"/>
  <c r="G13" i="32" s="1"/>
  <c r="M15" i="16" s="1"/>
  <c r="W15" i="16" s="1"/>
  <c r="X15" i="16" s="1"/>
  <c r="H20" i="34"/>
  <c r="G15" i="34"/>
  <c r="O17" i="16" s="1"/>
  <c r="G11" i="34"/>
  <c r="B4" i="34"/>
  <c r="B3" i="34"/>
  <c r="H20" i="33"/>
  <c r="G15" i="33"/>
  <c r="J15" i="33" s="1"/>
  <c r="N15" i="16"/>
  <c r="G11" i="33"/>
  <c r="J11" i="33" s="1"/>
  <c r="B4" i="33"/>
  <c r="B3" i="33"/>
  <c r="G15" i="32"/>
  <c r="M17" i="16" s="1"/>
  <c r="W17" i="16" s="1"/>
  <c r="X17" i="16" s="1"/>
  <c r="B4" i="32"/>
  <c r="B3" i="32"/>
  <c r="N17" i="16"/>
  <c r="N12" i="16"/>
  <c r="N36" i="16" s="1"/>
  <c r="J13" i="33"/>
  <c r="C14" i="31"/>
  <c r="G14" i="31" s="1"/>
  <c r="C13" i="31"/>
  <c r="G13" i="31" s="1"/>
  <c r="D20" i="29"/>
  <c r="G20" i="29" s="1"/>
  <c r="G21" i="29" s="1"/>
  <c r="C17" i="31" s="1"/>
  <c r="G17" i="31" s="1"/>
  <c r="F20" i="29"/>
  <c r="I20" i="29"/>
  <c r="I21" i="29" s="1"/>
  <c r="C19" i="31" s="1"/>
  <c r="G19" i="31" s="1"/>
  <c r="L22" i="16" s="1"/>
  <c r="L40" i="16" s="1"/>
  <c r="L49" i="16" s="1"/>
  <c r="G11" i="31"/>
  <c r="H20" i="31"/>
  <c r="G15" i="31"/>
  <c r="B4" i="31"/>
  <c r="B3" i="31"/>
  <c r="J15" i="31"/>
  <c r="L17" i="16"/>
  <c r="J27" i="16"/>
  <c r="C13" i="27"/>
  <c r="G13" i="27" s="1"/>
  <c r="K15" i="16" s="1"/>
  <c r="C14" i="27"/>
  <c r="G14" i="27" s="1"/>
  <c r="C13" i="18"/>
  <c r="I19" i="29"/>
  <c r="C19" i="27" s="1"/>
  <c r="G19" i="27" s="1"/>
  <c r="K22" i="16" s="1"/>
  <c r="K40" i="16" s="1"/>
  <c r="K49" i="16" s="1"/>
  <c r="I14" i="29"/>
  <c r="M14" i="29" s="1"/>
  <c r="F19" i="29"/>
  <c r="D19" i="29"/>
  <c r="F17" i="29"/>
  <c r="G17" i="29" s="1"/>
  <c r="G18" i="29" s="1"/>
  <c r="C17" i="18" s="1"/>
  <c r="G17" i="18" s="1"/>
  <c r="J17" i="18" s="1"/>
  <c r="F13" i="29"/>
  <c r="I15" i="29"/>
  <c r="I17" i="29"/>
  <c r="I18" i="29" s="1"/>
  <c r="C19" i="18" s="1"/>
  <c r="G19" i="18" s="1"/>
  <c r="F16" i="29"/>
  <c r="F14" i="29"/>
  <c r="O5" i="29"/>
  <c r="H20" i="21"/>
  <c r="D31" i="16"/>
  <c r="E31" i="16"/>
  <c r="F31" i="16"/>
  <c r="G31" i="16"/>
  <c r="H31" i="16"/>
  <c r="I31" i="16"/>
  <c r="J31" i="16"/>
  <c r="C31" i="16"/>
  <c r="B31" i="16"/>
  <c r="C13" i="20"/>
  <c r="G13" i="20" s="1"/>
  <c r="G15" i="27"/>
  <c r="K17" i="16" s="1"/>
  <c r="G15" i="18"/>
  <c r="G15" i="20"/>
  <c r="I17" i="16" s="1"/>
  <c r="C19" i="20"/>
  <c r="I13" i="29"/>
  <c r="C19" i="24" s="1"/>
  <c r="G19" i="24" s="1"/>
  <c r="D13" i="29"/>
  <c r="D17" i="29"/>
  <c r="D14" i="29"/>
  <c r="F11" i="29"/>
  <c r="K14" i="29"/>
  <c r="I11" i="29"/>
  <c r="D11" i="29"/>
  <c r="K10" i="29"/>
  <c r="K12" i="29" s="1"/>
  <c r="I10" i="29"/>
  <c r="F10" i="29"/>
  <c r="D10" i="29"/>
  <c r="G10" i="29" s="1"/>
  <c r="K8" i="29"/>
  <c r="I8" i="29"/>
  <c r="F8" i="29"/>
  <c r="D8" i="29"/>
  <c r="K7" i="29"/>
  <c r="I7" i="29"/>
  <c r="I9" i="29" s="1"/>
  <c r="M9" i="29" s="1"/>
  <c r="F7" i="29"/>
  <c r="F9" i="29" s="1"/>
  <c r="D7" i="29"/>
  <c r="D42" i="28"/>
  <c r="E42" i="28"/>
  <c r="D40" i="28"/>
  <c r="E40" i="28" s="1"/>
  <c r="D36" i="28"/>
  <c r="E36" i="28" s="1"/>
  <c r="D34" i="28"/>
  <c r="E34" i="28" s="1"/>
  <c r="D23" i="28"/>
  <c r="E23" i="28"/>
  <c r="D21" i="28"/>
  <c r="E21" i="28" s="1"/>
  <c r="D17" i="28"/>
  <c r="E17" i="28" s="1"/>
  <c r="D15" i="28"/>
  <c r="E15" i="28" s="1"/>
  <c r="D8" i="28"/>
  <c r="E8" i="28"/>
  <c r="D5" i="28"/>
  <c r="E5" i="28" s="1"/>
  <c r="K9" i="29"/>
  <c r="H20" i="27"/>
  <c r="G11" i="27"/>
  <c r="B4" i="27"/>
  <c r="B3" i="27"/>
  <c r="C14" i="20"/>
  <c r="G14" i="20" s="1"/>
  <c r="I16" i="16" s="1"/>
  <c r="C14" i="18"/>
  <c r="G14" i="18" s="1"/>
  <c r="J14" i="18" s="1"/>
  <c r="H20" i="26"/>
  <c r="G19" i="26"/>
  <c r="F22" i="16" s="1"/>
  <c r="F40" i="16" s="1"/>
  <c r="G17" i="26"/>
  <c r="G15" i="26"/>
  <c r="F17" i="16"/>
  <c r="G14" i="26"/>
  <c r="F16" i="16" s="1"/>
  <c r="G13" i="26"/>
  <c r="F15" i="16" s="1"/>
  <c r="G11" i="26"/>
  <c r="F12" i="16" s="1"/>
  <c r="B4" i="26"/>
  <c r="B3" i="26"/>
  <c r="H20" i="25"/>
  <c r="G19" i="25"/>
  <c r="G17" i="25"/>
  <c r="G24" i="25" s="1"/>
  <c r="G15" i="25"/>
  <c r="D17" i="16" s="1"/>
  <c r="G14" i="25"/>
  <c r="G13" i="25"/>
  <c r="D15" i="16"/>
  <c r="G11" i="25"/>
  <c r="B4" i="25"/>
  <c r="B3" i="25"/>
  <c r="G15" i="23"/>
  <c r="C17" i="16" s="1"/>
  <c r="G14" i="23"/>
  <c r="G15" i="22"/>
  <c r="E17" i="16" s="1"/>
  <c r="G14" i="22"/>
  <c r="E16" i="16" s="1"/>
  <c r="G15" i="21"/>
  <c r="G14" i="21"/>
  <c r="G16" i="16" s="1"/>
  <c r="G15" i="24"/>
  <c r="H17" i="16"/>
  <c r="G14" i="24"/>
  <c r="G13" i="24"/>
  <c r="H15" i="16" s="1"/>
  <c r="G11" i="24"/>
  <c r="B3" i="24"/>
  <c r="G19" i="23"/>
  <c r="C22" i="16" s="1"/>
  <c r="C40" i="16" s="1"/>
  <c r="C49" i="16" s="1"/>
  <c r="G17" i="23"/>
  <c r="C20" i="16" s="1"/>
  <c r="G13" i="23"/>
  <c r="C15" i="16" s="1"/>
  <c r="G11" i="23"/>
  <c r="B4" i="23"/>
  <c r="B3" i="23"/>
  <c r="G19" i="22"/>
  <c r="E22" i="16" s="1"/>
  <c r="E40" i="16" s="1"/>
  <c r="E49" i="16" s="1"/>
  <c r="G17" i="22"/>
  <c r="E20" i="16"/>
  <c r="E33" i="16" s="1"/>
  <c r="G13" i="22"/>
  <c r="E15" i="16" s="1"/>
  <c r="G11" i="22"/>
  <c r="E12" i="16"/>
  <c r="E36" i="16" s="1"/>
  <c r="B4" i="22"/>
  <c r="B3" i="22"/>
  <c r="G19" i="21"/>
  <c r="G22" i="16"/>
  <c r="G40" i="16" s="1"/>
  <c r="G49" i="16" s="1"/>
  <c r="G17" i="21"/>
  <c r="G20" i="16" s="1"/>
  <c r="G13" i="21"/>
  <c r="G11" i="21"/>
  <c r="G26" i="21" s="1"/>
  <c r="B4" i="21"/>
  <c r="B3" i="21"/>
  <c r="G11" i="20"/>
  <c r="I12" i="16" s="1"/>
  <c r="I36" i="16" s="1"/>
  <c r="B4" i="20"/>
  <c r="B3" i="20"/>
  <c r="E52" i="16"/>
  <c r="G26" i="23"/>
  <c r="G26" i="22"/>
  <c r="C52" i="16"/>
  <c r="G29" i="21"/>
  <c r="G28" i="22"/>
  <c r="G15" i="16"/>
  <c r="G24" i="22"/>
  <c r="G28" i="26"/>
  <c r="F20" i="16"/>
  <c r="F33" i="16" s="1"/>
  <c r="G28" i="21"/>
  <c r="G24" i="26"/>
  <c r="G28" i="25"/>
  <c r="H22" i="23"/>
  <c r="H20" i="22"/>
  <c r="H20" i="24"/>
  <c r="B4" i="18"/>
  <c r="B3" i="18"/>
  <c r="B13" i="17"/>
  <c r="AB23" i="16"/>
  <c r="G11" i="18"/>
  <c r="J12" i="16" s="1"/>
  <c r="J36" i="16" s="1"/>
  <c r="J11" i="18"/>
  <c r="G13" i="18"/>
  <c r="H20" i="18"/>
  <c r="G52" i="16"/>
  <c r="K52" i="16"/>
  <c r="F36" i="16" l="1"/>
  <c r="F46" i="16" s="1"/>
  <c r="C39" i="16"/>
  <c r="C50" i="16" s="1"/>
  <c r="C33" i="16"/>
  <c r="C44" i="16" s="1"/>
  <c r="G33" i="16"/>
  <c r="G44" i="16" s="1"/>
  <c r="G32" i="23"/>
  <c r="C12" i="16"/>
  <c r="G22" i="23"/>
  <c r="W52" i="16"/>
  <c r="X52" i="16" s="1"/>
  <c r="G29" i="26"/>
  <c r="G26" i="18"/>
  <c r="D20" i="16"/>
  <c r="I12" i="29"/>
  <c r="M12" i="29" s="1"/>
  <c r="G13" i="29"/>
  <c r="C17" i="24" s="1"/>
  <c r="G17" i="24" s="1"/>
  <c r="H20" i="16" s="1"/>
  <c r="H33" i="16" s="1"/>
  <c r="J14" i="36"/>
  <c r="G24" i="21"/>
  <c r="G29" i="22"/>
  <c r="G27" i="22"/>
  <c r="E37" i="16"/>
  <c r="E48" i="16" s="1"/>
  <c r="G27" i="25"/>
  <c r="G23" i="24"/>
  <c r="G20" i="22"/>
  <c r="G23" i="22"/>
  <c r="E44" i="28"/>
  <c r="P46" i="16"/>
  <c r="G25" i="37"/>
  <c r="G23" i="25"/>
  <c r="G20" i="21"/>
  <c r="G29" i="23"/>
  <c r="G31" i="23"/>
  <c r="G26" i="20"/>
  <c r="D16" i="16"/>
  <c r="D37" i="16" s="1"/>
  <c r="G27" i="26"/>
  <c r="J16" i="16"/>
  <c r="G14" i="29"/>
  <c r="C17" i="20" s="1"/>
  <c r="G19" i="29"/>
  <c r="C17" i="27" s="1"/>
  <c r="G17" i="27" s="1"/>
  <c r="G28" i="27" s="1"/>
  <c r="G24" i="29"/>
  <c r="G26" i="29" s="1"/>
  <c r="C17" i="33" s="1"/>
  <c r="G17" i="33" s="1"/>
  <c r="G28" i="33" s="1"/>
  <c r="J11" i="36"/>
  <c r="J15" i="36"/>
  <c r="P17" i="16"/>
  <c r="P37" i="16" s="1"/>
  <c r="Q15" i="16"/>
  <c r="Q37" i="16" s="1"/>
  <c r="G29" i="37"/>
  <c r="F23" i="16"/>
  <c r="C51" i="16"/>
  <c r="G11" i="29"/>
  <c r="G12" i="29" s="1"/>
  <c r="G22" i="29"/>
  <c r="G23" i="29" s="1"/>
  <c r="C17" i="32" s="1"/>
  <c r="H17" i="32" s="1"/>
  <c r="G31" i="29"/>
  <c r="G32" i="29" s="1"/>
  <c r="C17" i="36" s="1"/>
  <c r="G17" i="36" s="1"/>
  <c r="J22" i="16"/>
  <c r="J40" i="16" s="1"/>
  <c r="J49" i="16" s="1"/>
  <c r="G23" i="18"/>
  <c r="G20" i="18"/>
  <c r="G29" i="18"/>
  <c r="J19" i="18"/>
  <c r="G26" i="37"/>
  <c r="G30" i="37"/>
  <c r="G29" i="27"/>
  <c r="Q12" i="16"/>
  <c r="G22" i="37"/>
  <c r="Q20" i="16"/>
  <c r="Q33" i="16" s="1"/>
  <c r="F32" i="16"/>
  <c r="E23" i="16"/>
  <c r="J14" i="33"/>
  <c r="N16" i="16"/>
  <c r="N37" i="16" s="1"/>
  <c r="N48" i="16" s="1"/>
  <c r="G23" i="33"/>
  <c r="G26" i="27"/>
  <c r="G20" i="27"/>
  <c r="K12" i="16"/>
  <c r="K36" i="16" s="1"/>
  <c r="J20" i="16"/>
  <c r="J33" i="16" s="1"/>
  <c r="G24" i="18"/>
  <c r="G28" i="18"/>
  <c r="G19" i="32"/>
  <c r="G23" i="32" s="1"/>
  <c r="H19" i="32"/>
  <c r="J46" i="16"/>
  <c r="E32" i="16"/>
  <c r="E43" i="16" s="1"/>
  <c r="E39" i="16"/>
  <c r="E44" i="16"/>
  <c r="D9" i="29"/>
  <c r="G8" i="29"/>
  <c r="O22" i="16"/>
  <c r="O40" i="16" s="1"/>
  <c r="O49" i="16" s="1"/>
  <c r="G29" i="34"/>
  <c r="D12" i="29"/>
  <c r="G24" i="31"/>
  <c r="G28" i="31"/>
  <c r="J17" i="31"/>
  <c r="L20" i="16"/>
  <c r="L33" i="16" s="1"/>
  <c r="G29" i="36"/>
  <c r="J19" i="36"/>
  <c r="G17" i="16"/>
  <c r="G37" i="16" s="1"/>
  <c r="G48" i="16" s="1"/>
  <c r="G27" i="21"/>
  <c r="C16" i="16"/>
  <c r="G25" i="23"/>
  <c r="I21" i="23" s="1"/>
  <c r="G30" i="23"/>
  <c r="G29" i="25"/>
  <c r="D22" i="16"/>
  <c r="D40" i="16" s="1"/>
  <c r="G23" i="26"/>
  <c r="G20" i="26"/>
  <c r="J19" i="31"/>
  <c r="G29" i="31"/>
  <c r="J17" i="36"/>
  <c r="G24" i="36"/>
  <c r="G39" i="16"/>
  <c r="G26" i="26"/>
  <c r="H16" i="16"/>
  <c r="H37" i="16" s="1"/>
  <c r="G27" i="24"/>
  <c r="H22" i="16"/>
  <c r="H40" i="16" s="1"/>
  <c r="G29" i="24"/>
  <c r="G26" i="25"/>
  <c r="D12" i="16"/>
  <c r="D36" i="16" s="1"/>
  <c r="G20" i="25"/>
  <c r="F37" i="16"/>
  <c r="G23" i="27"/>
  <c r="E10" i="28"/>
  <c r="H19" i="20"/>
  <c r="G19" i="20"/>
  <c r="I15" i="16"/>
  <c r="G27" i="20"/>
  <c r="K20" i="16"/>
  <c r="K33" i="16" s="1"/>
  <c r="K16" i="16"/>
  <c r="K37" i="16" s="1"/>
  <c r="K48" i="16" s="1"/>
  <c r="G27" i="27"/>
  <c r="J13" i="31"/>
  <c r="G27" i="31"/>
  <c r="L15" i="16"/>
  <c r="J14" i="31"/>
  <c r="L16" i="16"/>
  <c r="M16" i="16"/>
  <c r="W16" i="16" s="1"/>
  <c r="X16" i="16" s="1"/>
  <c r="N22" i="16"/>
  <c r="N40" i="16" s="1"/>
  <c r="N49" i="16" s="1"/>
  <c r="G29" i="33"/>
  <c r="J19" i="33"/>
  <c r="J13" i="18"/>
  <c r="G27" i="18"/>
  <c r="I47" i="16"/>
  <c r="I46" i="16"/>
  <c r="H12" i="16"/>
  <c r="H36" i="16" s="1"/>
  <c r="J15" i="18"/>
  <c r="J17" i="16"/>
  <c r="M16" i="29"/>
  <c r="N47" i="16"/>
  <c r="N46" i="16"/>
  <c r="O12" i="16"/>
  <c r="O36" i="16" s="1"/>
  <c r="G20" i="34"/>
  <c r="G26" i="34"/>
  <c r="G23" i="34"/>
  <c r="N20" i="16"/>
  <c r="N33" i="16" s="1"/>
  <c r="G24" i="33"/>
  <c r="G27" i="34"/>
  <c r="O16" i="16"/>
  <c r="O37" i="16" s="1"/>
  <c r="O48" i="16" s="1"/>
  <c r="J15" i="16"/>
  <c r="F39" i="16"/>
  <c r="F51" i="16" s="1"/>
  <c r="G26" i="24"/>
  <c r="G12" i="16"/>
  <c r="G36" i="16" s="1"/>
  <c r="G23" i="21"/>
  <c r="L12" i="16"/>
  <c r="L36" i="16" s="1"/>
  <c r="G23" i="31"/>
  <c r="G26" i="31"/>
  <c r="G20" i="31"/>
  <c r="L23" i="16" s="1"/>
  <c r="J11" i="31"/>
  <c r="G7" i="29"/>
  <c r="F12" i="29"/>
  <c r="G27" i="32"/>
  <c r="G26" i="32"/>
  <c r="M12" i="16"/>
  <c r="W12" i="16" s="1"/>
  <c r="X12" i="16" s="1"/>
  <c r="G24" i="34"/>
  <c r="O20" i="16"/>
  <c r="O33" i="16" s="1"/>
  <c r="G28" i="34"/>
  <c r="G23" i="36"/>
  <c r="G20" i="36"/>
  <c r="G26" i="36"/>
  <c r="G27" i="33"/>
  <c r="G27" i="36"/>
  <c r="J13" i="36"/>
  <c r="G26" i="33"/>
  <c r="M36" i="16" l="1"/>
  <c r="W36" i="16" s="1"/>
  <c r="X36" i="16" s="1"/>
  <c r="C32" i="16"/>
  <c r="C43" i="16" s="1"/>
  <c r="C36" i="16"/>
  <c r="C46" i="16" s="1"/>
  <c r="Q36" i="16"/>
  <c r="Q46" i="16" s="1"/>
  <c r="D39" i="16"/>
  <c r="D51" i="16" s="1"/>
  <c r="D33" i="16"/>
  <c r="H20" i="32"/>
  <c r="G17" i="32"/>
  <c r="G20" i="24"/>
  <c r="G24" i="24"/>
  <c r="G28" i="24"/>
  <c r="J17" i="33"/>
  <c r="G20" i="33"/>
  <c r="J37" i="16"/>
  <c r="G24" i="27"/>
  <c r="H17" i="20"/>
  <c r="H20" i="20" s="1"/>
  <c r="G17" i="20"/>
  <c r="G28" i="36"/>
  <c r="P20" i="16"/>
  <c r="P32" i="16"/>
  <c r="N23" i="16"/>
  <c r="Q39" i="16"/>
  <c r="Q50" i="16" s="1"/>
  <c r="J20" i="36"/>
  <c r="G20" i="32"/>
  <c r="H39" i="16"/>
  <c r="H51" i="16" s="1"/>
  <c r="H29" i="37"/>
  <c r="H28" i="37"/>
  <c r="H31" i="37"/>
  <c r="H30" i="37"/>
  <c r="Q32" i="16"/>
  <c r="Q23" i="16"/>
  <c r="L37" i="16"/>
  <c r="I37" i="16"/>
  <c r="I48" i="16" s="1"/>
  <c r="G50" i="16"/>
  <c r="G51" i="16"/>
  <c r="G9" i="29"/>
  <c r="G23" i="16"/>
  <c r="G32" i="16"/>
  <c r="G43" i="16" s="1"/>
  <c r="H23" i="16"/>
  <c r="H46" i="16"/>
  <c r="H32" i="16"/>
  <c r="I22" i="16"/>
  <c r="I40" i="16" s="1"/>
  <c r="I49" i="16" s="1"/>
  <c r="G29" i="20"/>
  <c r="G20" i="20"/>
  <c r="G23" i="20"/>
  <c r="C23" i="16"/>
  <c r="J23" i="16"/>
  <c r="E46" i="16"/>
  <c r="E47" i="16"/>
  <c r="N32" i="16"/>
  <c r="O39" i="16"/>
  <c r="O50" i="16" s="1"/>
  <c r="M37" i="16"/>
  <c r="W37" i="16" s="1"/>
  <c r="X37" i="16" s="1"/>
  <c r="O23" i="16"/>
  <c r="O32" i="16"/>
  <c r="J20" i="18"/>
  <c r="K44" i="16"/>
  <c r="K39" i="16"/>
  <c r="C37" i="16"/>
  <c r="C48" i="16" s="1"/>
  <c r="L39" i="16"/>
  <c r="L50" i="16" s="1"/>
  <c r="J32" i="16"/>
  <c r="J43" i="16" s="1"/>
  <c r="G29" i="32"/>
  <c r="M22" i="16"/>
  <c r="W22" i="16" s="1"/>
  <c r="X22" i="16" s="1"/>
  <c r="G28" i="32"/>
  <c r="M20" i="16"/>
  <c r="W20" i="16" s="1"/>
  <c r="X20" i="16" s="1"/>
  <c r="G24" i="32"/>
  <c r="N39" i="16"/>
  <c r="N50" i="16" s="1"/>
  <c r="K23" i="16"/>
  <c r="K32" i="16"/>
  <c r="K43" i="16" s="1"/>
  <c r="J20" i="31"/>
  <c r="L46" i="16"/>
  <c r="L32" i="16"/>
  <c r="D46" i="16"/>
  <c r="D23" i="16"/>
  <c r="D32" i="16"/>
  <c r="E51" i="16"/>
  <c r="E50" i="16"/>
  <c r="J39" i="16"/>
  <c r="J44" i="16"/>
  <c r="J20" i="33"/>
  <c r="P23" i="16" l="1"/>
  <c r="P33" i="16"/>
  <c r="C47" i="16"/>
  <c r="M33" i="16"/>
  <c r="W33" i="16" s="1"/>
  <c r="X33" i="16" s="1"/>
  <c r="M32" i="16"/>
  <c r="W32" i="16" s="1"/>
  <c r="X32" i="16" s="1"/>
  <c r="M46" i="16"/>
  <c r="W46" i="16" s="1"/>
  <c r="X46" i="16" s="1"/>
  <c r="P39" i="16"/>
  <c r="P50" i="16" s="1"/>
  <c r="I20" i="16"/>
  <c r="I33" i="16" s="1"/>
  <c r="G28" i="20"/>
  <c r="G24" i="20"/>
  <c r="M23" i="16"/>
  <c r="W23" i="16" s="1"/>
  <c r="X23" i="16" s="1"/>
  <c r="K46" i="16"/>
  <c r="K47" i="16"/>
  <c r="M48" i="16"/>
  <c r="W48" i="16" s="1"/>
  <c r="X48" i="16" s="1"/>
  <c r="K50" i="16"/>
  <c r="K51" i="16"/>
  <c r="O47" i="16"/>
  <c r="O46" i="16"/>
  <c r="M39" i="16"/>
  <c r="W39" i="16" s="1"/>
  <c r="X39" i="16" s="1"/>
  <c r="M47" i="16"/>
  <c r="M40" i="16"/>
  <c r="W40" i="16" s="1"/>
  <c r="X40" i="16" s="1"/>
  <c r="G47" i="16"/>
  <c r="G46" i="16"/>
  <c r="I32" i="16"/>
  <c r="I43" i="16" s="1"/>
  <c r="W43" i="16" s="1"/>
  <c r="X43" i="16" s="1"/>
  <c r="I23" i="16" l="1"/>
  <c r="I44" i="16"/>
  <c r="W44" i="16" s="1"/>
  <c r="X44" i="16" s="1"/>
  <c r="I39" i="16"/>
  <c r="W47" i="16"/>
  <c r="X47" i="16" s="1"/>
  <c r="M50" i="16"/>
  <c r="W50" i="16" s="1"/>
  <c r="X50" i="16" s="1"/>
  <c r="M49" i="16"/>
  <c r="W49" i="16" s="1"/>
  <c r="X49" i="16" s="1"/>
  <c r="I51" i="16" l="1"/>
  <c r="Z51" i="16" s="1"/>
  <c r="I5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s>
  <commentList>
    <comment ref="C13" authorId="0" shapeId="0" xr:uid="{00000000-0006-0000-0B00-000001000000}">
      <text>
        <r>
          <rPr>
            <b/>
            <sz val="9"/>
            <color rgb="FF000000"/>
            <rFont val="Tahoma"/>
            <family val="2"/>
          </rPr>
          <t>Gebruiker:</t>
        </r>
        <r>
          <rPr>
            <sz val="9"/>
            <color rgb="FF000000"/>
            <rFont val="Tahoma"/>
            <family val="2"/>
          </rPr>
          <t xml:space="preserve">
</t>
        </r>
        <r>
          <rPr>
            <sz val="9"/>
            <color rgb="FF000000"/>
            <rFont val="Tahoma"/>
            <family val="2"/>
          </rPr>
          <t>'Inkoop gassen' document</t>
        </r>
      </text>
    </comment>
    <comment ref="C14" authorId="0" shapeId="0" xr:uid="{00000000-0006-0000-0B00-000002000000}">
      <text>
        <r>
          <rPr>
            <b/>
            <sz val="9"/>
            <color rgb="FF000000"/>
            <rFont val="Tahoma"/>
            <family val="2"/>
          </rPr>
          <t>Gebruiker:</t>
        </r>
        <r>
          <rPr>
            <sz val="9"/>
            <color rgb="FF000000"/>
            <rFont val="Tahoma"/>
            <family val="2"/>
          </rPr>
          <t xml:space="preserve">
</t>
        </r>
        <r>
          <rPr>
            <sz val="9"/>
            <color rgb="FF000000"/>
            <rFont val="Tahoma"/>
            <family val="2"/>
          </rPr>
          <t>'LPG en gasflessen' document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Vos</author>
    <author>Bryan Nanlohy</author>
  </authors>
  <commentList>
    <comment ref="D13" authorId="0" shapeId="0" xr:uid="{0775AE0C-0CEC-D74E-88A2-33C6A88CE522}">
      <text>
        <r>
          <rPr>
            <b/>
            <sz val="10"/>
            <color rgb="FF000000"/>
            <rFont val="Tahoma"/>
            <family val="2"/>
          </rPr>
          <t>SEFE. Eindafrekening Gas 2024.pdf</t>
        </r>
      </text>
    </comment>
    <comment ref="D15" authorId="0" shapeId="0" xr:uid="{AA4061E7-607E-3443-84DF-611089E10B82}">
      <text>
        <r>
          <rPr>
            <b/>
            <sz val="10"/>
            <color rgb="FF000000"/>
            <rFont val="Tahoma"/>
            <family val="2"/>
          </rPr>
          <t>KBI. GB 44950. Diesel 2024</t>
        </r>
      </text>
    </comment>
    <comment ref="D18" authorId="0" shapeId="0" xr:uid="{D96BC118-6D69-2A47-A6C6-4B945CFE0335}">
      <text>
        <r>
          <rPr>
            <b/>
            <sz val="10"/>
            <color rgb="FF000000"/>
            <rFont val="Tahoma"/>
            <family val="2"/>
          </rPr>
          <t>KBI. GB 50022. Inkoop Gassen (propaan) 2024.xlsx</t>
        </r>
      </text>
    </comment>
    <comment ref="D19" authorId="0" shapeId="0" xr:uid="{1A41EBC5-3D5E-1C45-8C32-D684A229CACA}">
      <text>
        <r>
          <rPr>
            <b/>
            <sz val="10"/>
            <color rgb="FF000000"/>
            <rFont val="Tahoma"/>
            <family val="2"/>
          </rPr>
          <t xml:space="preserve">KBI. GB 42980. Energiekosten machines 2024 +
</t>
        </r>
        <r>
          <rPr>
            <sz val="10"/>
            <color rgb="FF000000"/>
            <rFont val="Tahoma"/>
            <family val="2"/>
          </rPr>
          <t xml:space="preserve">KBI. GB 44940. Benzine Materieel Huurauto's 2024 +
</t>
        </r>
      </text>
    </comment>
    <comment ref="D22" authorId="1" shapeId="0" xr:uid="{364F0915-30AE-924B-99ED-5A411A7C0ED0}">
      <text>
        <r>
          <rPr>
            <b/>
            <sz val="10"/>
            <color rgb="FF000000"/>
            <rFont val="Tahoma"/>
            <family val="2"/>
          </rPr>
          <t>Bryan Nanlohy:</t>
        </r>
        <r>
          <rPr>
            <sz val="10"/>
            <color rgb="FF000000"/>
            <rFont val="Tahoma"/>
            <family val="2"/>
          </rPr>
          <t xml:space="preserve">
</t>
        </r>
        <r>
          <rPr>
            <sz val="10"/>
            <color rgb="FF000000"/>
            <rFont val="Tahoma"/>
            <family val="2"/>
          </rPr>
          <t>Totaal geladen kWh voor twee EV's (Skoda Enyaq) totaal 2024.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Office-gebruiker</author>
    <author>Martin Vos</author>
  </authors>
  <commentList>
    <comment ref="S26" authorId="0" shapeId="0" xr:uid="{4FEC1042-1E34-0D4B-A538-CC53AADD84A8}">
      <text>
        <r>
          <rPr>
            <sz val="10"/>
            <color rgb="FF000000"/>
            <rFont val="Tahoma"/>
            <family val="2"/>
          </rPr>
          <t xml:space="preserve">Rittenregistratie fiscaal </t>
        </r>
      </text>
    </comment>
    <comment ref="V26" authorId="1" shapeId="0" xr:uid="{1A2C19C2-28AC-E34B-B2C0-4C04FEBBED87}">
      <text>
        <r>
          <rPr>
            <b/>
            <sz val="10"/>
            <color rgb="FF000000"/>
            <rFont val="Tahoma"/>
            <family val="2"/>
          </rPr>
          <t>KBI. Rapportage Ritregistratie fiscaal 2024.xls</t>
        </r>
      </text>
    </comment>
    <comment ref="S29" authorId="0" shapeId="0" xr:uid="{61BD3622-A364-3D44-8A09-F1FA6CDBFAB0}">
      <text>
        <r>
          <rPr>
            <sz val="10"/>
            <color rgb="FF000000"/>
            <rFont val="Tahoma"/>
            <family val="2"/>
          </rPr>
          <t>GRaadddagen.xls</t>
        </r>
      </text>
    </comment>
  </commentList>
</comments>
</file>

<file path=xl/sharedStrings.xml><?xml version="1.0" encoding="utf-8"?>
<sst xmlns="http://schemas.openxmlformats.org/spreadsheetml/2006/main" count="1472" uniqueCount="356">
  <si>
    <t xml:space="preserve">Eenheid </t>
  </si>
  <si>
    <t>m3</t>
  </si>
  <si>
    <t>kWh</t>
  </si>
  <si>
    <t>km</t>
  </si>
  <si>
    <t>Grijze stroom</t>
  </si>
  <si>
    <t>Opmerking</t>
  </si>
  <si>
    <t>Euro's</t>
  </si>
  <si>
    <t>Wagenpark: diesel</t>
  </si>
  <si>
    <t>Wagenpark: benzine</t>
  </si>
  <si>
    <t>Materieel (mobiele werktuigen): diesel</t>
  </si>
  <si>
    <t>Materieel (mobiele werktuigen): benzine</t>
  </si>
  <si>
    <t>Zakelijk openbaar vervoer reizen</t>
  </si>
  <si>
    <t>Datum</t>
  </si>
  <si>
    <t>Totaal</t>
  </si>
  <si>
    <t>Meterstanden</t>
  </si>
  <si>
    <t>Periode</t>
  </si>
  <si>
    <t>Versie</t>
  </si>
  <si>
    <r>
      <t>CO</t>
    </r>
    <r>
      <rPr>
        <b/>
        <sz val="10"/>
        <color theme="1"/>
        <rFont val="Calibri"/>
        <family val="2"/>
        <scheme val="minor"/>
      </rPr>
      <t>2</t>
    </r>
    <r>
      <rPr>
        <b/>
        <sz val="14"/>
        <color theme="1"/>
        <rFont val="Calibri"/>
        <family val="2"/>
        <scheme val="minor"/>
      </rPr>
      <t xml:space="preserve"> gegevens halfjaarlijks verzamelen</t>
    </r>
  </si>
  <si>
    <r>
      <t>-</t>
    </r>
    <r>
      <rPr>
        <sz val="7"/>
        <color theme="1"/>
        <rFont val="Times New Roman"/>
        <family val="1"/>
      </rPr>
      <t xml:space="preserve">        </t>
    </r>
    <r>
      <rPr>
        <i/>
        <sz val="11"/>
        <color theme="1"/>
        <rFont val="Calibri"/>
        <family val="2"/>
        <scheme val="minor"/>
      </rPr>
      <t>Februari: over de periode van 30 juni t/m 31 december</t>
    </r>
  </si>
  <si>
    <r>
      <t>-</t>
    </r>
    <r>
      <rPr>
        <sz val="7"/>
        <color theme="1"/>
        <rFont val="Times New Roman"/>
        <family val="1"/>
      </rPr>
      <t xml:space="preserve">        </t>
    </r>
    <r>
      <rPr>
        <i/>
        <sz val="11"/>
        <color theme="1"/>
        <rFont val="Calibri"/>
        <family val="2"/>
        <scheme val="minor"/>
      </rPr>
      <t>Augustus: over de periode van 1 januari t/m 30 juni</t>
    </r>
  </si>
  <si>
    <r>
      <t xml:space="preserve">Dit document omschrijft welke energiestromen er wel of niet zijn in het bedrijf. De energiestromen die er wel zijn worden gemeten. Het is belangrijk om het volgende vast te leggen: </t>
    </r>
    <r>
      <rPr>
        <b/>
        <sz val="11"/>
        <color theme="1"/>
        <rFont val="Calibri"/>
        <family val="2"/>
        <scheme val="minor"/>
      </rPr>
      <t>waar</t>
    </r>
    <r>
      <rPr>
        <sz val="11"/>
        <color theme="1"/>
        <rFont val="Calibri"/>
        <family val="2"/>
        <scheme val="minor"/>
      </rPr>
      <t xml:space="preserve"> de hoeveelheden/metingen te vinden zijn en </t>
    </r>
    <r>
      <rPr>
        <b/>
        <sz val="11"/>
        <color theme="1"/>
        <rFont val="Calibri"/>
        <family val="2"/>
        <scheme val="minor"/>
      </rPr>
      <t xml:space="preserve">wie </t>
    </r>
    <r>
      <rPr>
        <sz val="11"/>
        <color theme="1"/>
        <rFont val="Calibri"/>
        <family val="2"/>
        <scheme val="minor"/>
      </rPr>
      <t xml:space="preserve">daarvoor verantwoordelijk is. </t>
    </r>
    <r>
      <rPr>
        <i/>
        <sz val="11"/>
        <color theme="1"/>
        <rFont val="Calibri"/>
        <family val="2"/>
        <scheme val="minor"/>
      </rPr>
      <t xml:space="preserve">Het is belangrijk dat de verantwoordelijke twee keer per jaar begin februari en augustus de metingen doorgeeft van het half jaar daarvoor. </t>
    </r>
  </si>
  <si>
    <t>Energiestroom</t>
  </si>
  <si>
    <t>Aanwezig</t>
  </si>
  <si>
    <t>Personenvervoer</t>
  </si>
  <si>
    <t xml:space="preserve">Liters </t>
  </si>
  <si>
    <t>Liters</t>
  </si>
  <si>
    <t>Wagenpark: -eventueel aanvullen met andere brandstoffen-</t>
  </si>
  <si>
    <t>Km</t>
  </si>
  <si>
    <t>Ja</t>
  </si>
  <si>
    <t>Gedeclareerde kilometers (zakelijk vervoer) in km</t>
  </si>
  <si>
    <t>Goederenvervoer</t>
  </si>
  <si>
    <t>Groene stroom</t>
  </si>
  <si>
    <t>Elektriciteit zelf opgewekt</t>
  </si>
  <si>
    <t>Overige brandstoffen anders dan vervoer</t>
  </si>
  <si>
    <t xml:space="preserve">Aardgas voor verwarming </t>
  </si>
  <si>
    <t>LPG voor heftruck</t>
  </si>
  <si>
    <t xml:space="preserve">Butaan </t>
  </si>
  <si>
    <t>Koel- en koude middelen</t>
  </si>
  <si>
    <t>Kengetallen</t>
  </si>
  <si>
    <t>Aantal FTE's</t>
  </si>
  <si>
    <t>FTE's</t>
  </si>
  <si>
    <t>Productieomvang</t>
  </si>
  <si>
    <t>Euro</t>
  </si>
  <si>
    <t>Omzet</t>
  </si>
  <si>
    <t>Vloeroppervlakte</t>
  </si>
  <si>
    <t>Gebouwinhoud</t>
  </si>
  <si>
    <t>Pas het document in tabblad energiestromen zo aan, dat het gaat passen bij de organisatie. Bijvoorbeeld: worden gegevens niet in liters verzameld maar in kg, vermeld dat dan in dit document.</t>
  </si>
  <si>
    <t>Verantwoordelijke</t>
  </si>
  <si>
    <t>Scope</t>
  </si>
  <si>
    <t>Elektriciteit</t>
  </si>
  <si>
    <r>
      <t>m</t>
    </r>
    <r>
      <rPr>
        <vertAlign val="superscript"/>
        <sz val="11"/>
        <color theme="1"/>
        <rFont val="Calibri"/>
        <family val="2"/>
        <scheme val="minor"/>
      </rPr>
      <t>2</t>
    </r>
  </si>
  <si>
    <r>
      <t>m</t>
    </r>
    <r>
      <rPr>
        <vertAlign val="superscript"/>
        <sz val="11"/>
        <color theme="1"/>
        <rFont val="Calibri"/>
        <family val="2"/>
        <scheme val="minor"/>
      </rPr>
      <t>3</t>
    </r>
  </si>
  <si>
    <t>Nee</t>
  </si>
  <si>
    <t xml:space="preserve">Verwaarloosbaar </t>
  </si>
  <si>
    <t>KWh</t>
  </si>
  <si>
    <t>Wagenpark: hybride</t>
  </si>
  <si>
    <t>Liters of kg?</t>
  </si>
  <si>
    <t>Koelmiddelen in de airco's: - R… -</t>
  </si>
  <si>
    <t>Aantal FTE's kantoor</t>
  </si>
  <si>
    <t>Verreden kilometers wagenpark</t>
  </si>
  <si>
    <t>Draaiuren materieel</t>
  </si>
  <si>
    <t>uren</t>
  </si>
  <si>
    <t>Leverancier(s) van energiestroom</t>
  </si>
  <si>
    <t>Waar gegevens opvragen</t>
  </si>
  <si>
    <t>Bron / bewijslast / documentatie</t>
  </si>
  <si>
    <t>Zakelijke vliegreizen</t>
  </si>
  <si>
    <t>Dit document is als hulpmiddel bedoeld bij het verzamelen van de gegevens voor de halfjaarlijkse CO2 footprint, zodat dit niet elk halfjaar opnieuw bedacht hoeft te worden en het proces efficiënter te laten verlopen. Omdat de energiestromen en de inrichting daarvan voor ieder bedrijf verschillend kan zijn, is het belangrijk om dit document aan te passen naar de eigen organisatie. Of te verwijzen naar monitoringslijsten die al gebruikt worden en hier goed op aansluiten.</t>
  </si>
  <si>
    <t>Elektriciteitverbruik op projecten (indien betaald door het bedrijf)</t>
  </si>
  <si>
    <t>Bedrijfsnaam</t>
  </si>
  <si>
    <t>Kamer van Koophandel nummer:</t>
  </si>
  <si>
    <t>Geverificeerd door CI</t>
  </si>
  <si>
    <t>1 januari 2014 t/m 31 december 2014</t>
  </si>
  <si>
    <t xml:space="preserve">Handboek 3.0 </t>
  </si>
  <si>
    <t>nee</t>
  </si>
  <si>
    <t>ja</t>
  </si>
  <si>
    <t>Propaan voor droogbranden wegdek</t>
  </si>
  <si>
    <t xml:space="preserve">Acetyleen en Argon Lasgassen </t>
  </si>
  <si>
    <t>kg</t>
  </si>
  <si>
    <t>Aantal</t>
  </si>
  <si>
    <t>Emissiefactor</t>
  </si>
  <si>
    <t>Eenheid</t>
  </si>
  <si>
    <t>Opmerkingen</t>
  </si>
  <si>
    <t>Wagenpark incl. groot materieel</t>
  </si>
  <si>
    <t xml:space="preserve">Elektriciteit </t>
  </si>
  <si>
    <t>Brandstoffen voor verwarming</t>
  </si>
  <si>
    <r>
      <t>kg CO</t>
    </r>
    <r>
      <rPr>
        <sz val="11"/>
        <color theme="1"/>
        <rFont val="Calibri"/>
        <family val="2"/>
      </rPr>
      <t>₂ / kWh</t>
    </r>
  </si>
  <si>
    <r>
      <t>kg CO</t>
    </r>
    <r>
      <rPr>
        <sz val="11"/>
        <color theme="1"/>
        <rFont val="Calibri"/>
        <family val="2"/>
      </rPr>
      <t>₂ / m³</t>
    </r>
  </si>
  <si>
    <t>m³</t>
  </si>
  <si>
    <r>
      <t>kg CO</t>
    </r>
    <r>
      <rPr>
        <sz val="11"/>
        <color theme="1"/>
        <rFont val="Calibri"/>
        <family val="2"/>
      </rPr>
      <t>₂ / liter</t>
    </r>
  </si>
  <si>
    <t>Benzineverbruik materieel</t>
  </si>
  <si>
    <r>
      <t>CO</t>
    </r>
    <r>
      <rPr>
        <b/>
        <sz val="16"/>
        <color theme="1"/>
        <rFont val="Calibri"/>
        <family val="2"/>
      </rPr>
      <t>₂</t>
    </r>
    <r>
      <rPr>
        <b/>
        <sz val="16"/>
        <color theme="1"/>
        <rFont val="Calibri"/>
        <family val="2"/>
        <scheme val="minor"/>
      </rPr>
      <t xml:space="preserve"> footprint 2014</t>
    </r>
  </si>
  <si>
    <r>
      <t>Ton CO</t>
    </r>
    <r>
      <rPr>
        <b/>
        <sz val="12"/>
        <rFont val="Calibri"/>
        <family val="2"/>
      </rPr>
      <t>₂</t>
    </r>
  </si>
  <si>
    <r>
      <t>CO</t>
    </r>
    <r>
      <rPr>
        <b/>
        <sz val="16"/>
        <color theme="1"/>
        <rFont val="Calibri"/>
        <family val="2"/>
      </rPr>
      <t>₂</t>
    </r>
    <r>
      <rPr>
        <b/>
        <sz val="16"/>
        <color theme="1"/>
        <rFont val="Calibri"/>
        <family val="2"/>
        <scheme val="minor"/>
      </rPr>
      <t xml:space="preserve"> footprint 2015-H1</t>
    </r>
  </si>
  <si>
    <t>1 januari 2015 t/m 30 juni 2015</t>
  </si>
  <si>
    <t>1 januari 2015 t/m 31 december 2015</t>
  </si>
  <si>
    <t>Scope 1</t>
  </si>
  <si>
    <t>Scope 2</t>
  </si>
  <si>
    <t>Scope verdeling</t>
  </si>
  <si>
    <t>Brandstoffen materieel</t>
  </si>
  <si>
    <t>Energiestromen</t>
  </si>
  <si>
    <t>n.v.t.</t>
  </si>
  <si>
    <t>2015- H1</t>
  </si>
  <si>
    <t>2016-H1</t>
  </si>
  <si>
    <t xml:space="preserve">Ton CO₂ uitstoot per jaar </t>
  </si>
  <si>
    <t>Euro's per jaar aan energiestromen</t>
  </si>
  <si>
    <t>Trendlijn</t>
  </si>
  <si>
    <t>3.A.1 Emissie inventaris volgens ISO 14064-1</t>
  </si>
  <si>
    <t>Datum:</t>
  </si>
  <si>
    <t>(Sub)hoofstuk</t>
  </si>
  <si>
    <t>Omschrijving</t>
  </si>
  <si>
    <t>A</t>
  </si>
  <si>
    <t>Verantwoordelijkheden</t>
  </si>
  <si>
    <t>B</t>
  </si>
  <si>
    <t>Inventarisatie jaar:</t>
  </si>
  <si>
    <t>C</t>
  </si>
  <si>
    <t>Basis inventarisatie jaar</t>
  </si>
  <si>
    <t>J, K</t>
  </si>
  <si>
    <t>Normering</t>
  </si>
  <si>
    <t>Deze emissie-inventaris is opgesteld volgens punt a t/m n uit § 7.3 uit de ISO 14064-1</t>
  </si>
  <si>
    <t>P</t>
  </si>
  <si>
    <t>Verificatie datum</t>
  </si>
  <si>
    <t>Q</t>
  </si>
  <si>
    <t>Organisatiegrenzen</t>
  </si>
  <si>
    <t>D</t>
  </si>
  <si>
    <t>Naam Hoofdonderneming</t>
  </si>
  <si>
    <t>KvK Nummer</t>
  </si>
  <si>
    <t>Aantal dochter ondernemingen</t>
  </si>
  <si>
    <t>Namen dochter ondernemingen</t>
  </si>
  <si>
    <t>Aantal vestigingen</t>
  </si>
  <si>
    <t>Zie hieronder de organogram</t>
  </si>
  <si>
    <t>Biomassa</t>
  </si>
  <si>
    <t>Er wordt geen gebruik gemaakt van biomassa.</t>
  </si>
  <si>
    <t>F</t>
  </si>
  <si>
    <t>CO2 opname</t>
  </si>
  <si>
    <t>Binnen het bedrijf wordt geen CO2 opgenomen.</t>
  </si>
  <si>
    <t>G</t>
  </si>
  <si>
    <t>Uitsluitingen</t>
  </si>
  <si>
    <t>H</t>
  </si>
  <si>
    <t>Kwaniticeringsmethode</t>
  </si>
  <si>
    <t xml:space="preserve">Het CO2- Prestatieladder handboek versie 3.0 van 10-06-2015 zoals uitgegeven door de SKAO vormt de basis voor de kwantificeringsmethode. De Scope-indeling zoals door de SKAO beschreven is aangehouden. </t>
  </si>
  <si>
    <t>L</t>
  </si>
  <si>
    <t>Wijzigingen kwantificeringsmethode</t>
  </si>
  <si>
    <t>M</t>
  </si>
  <si>
    <t>Emissiefactoren</t>
  </si>
  <si>
    <t>De recente lijst emissiefactoren zijn te vinden in op www.co2emissiefactoren.nl</t>
  </si>
  <si>
    <t>N</t>
  </si>
  <si>
    <t>Onzekerheden</t>
  </si>
  <si>
    <t>O</t>
  </si>
  <si>
    <t>Scope 1 en 2 verdeling</t>
  </si>
  <si>
    <t>E &amp; I</t>
  </si>
  <si>
    <t>Beschrijving van de organisatie</t>
  </si>
  <si>
    <r>
      <t>CO</t>
    </r>
    <r>
      <rPr>
        <b/>
        <sz val="16"/>
        <color theme="1"/>
        <rFont val="Calibri"/>
        <family val="2"/>
      </rPr>
      <t>₂</t>
    </r>
    <r>
      <rPr>
        <b/>
        <sz val="16"/>
        <color theme="1"/>
        <rFont val="Calibri"/>
        <family val="2"/>
        <scheme val="minor"/>
      </rPr>
      <t xml:space="preserve"> footprint 2016-H1</t>
    </r>
  </si>
  <si>
    <t>1 januari 2016 t/m 30 juni 2016</t>
  </si>
  <si>
    <t xml:space="preserve">Kreeft Participaties B.V. (Kreeft) </t>
  </si>
  <si>
    <t>Eindverantwoordelijke: directeur dhr. R. Kreeft</t>
  </si>
  <si>
    <t>Tweede verantwoordelijke: administratie</t>
  </si>
  <si>
    <t xml:space="preserve">Goederenvervoer is uitgesloten. Het transport of goederenvervoer wordt uitgevoerd door transportbedrijven. Deze energiestroom valt onder scope 3 en daarmee is deze emissie uitgesloten. </t>
  </si>
  <si>
    <t>Zakelijk verkeer met openbaar vervoer: er wordt bij Kreeft niet zakelijk gereden met het openbaar vervoer.</t>
  </si>
  <si>
    <t xml:space="preserve">Zakelijk verkeer met privé auto's is te verwaarlozen. </t>
  </si>
  <si>
    <t>Wagenpark</t>
  </si>
  <si>
    <t>Dieselverbruik wagenpark</t>
  </si>
  <si>
    <t>LPG verbruik materieel</t>
  </si>
  <si>
    <t>Heftruck</t>
  </si>
  <si>
    <t>Aardgas</t>
  </si>
  <si>
    <t>Materieel (mobiele werktuigen): LPG</t>
  </si>
  <si>
    <t>b</t>
  </si>
  <si>
    <t>2014-H1</t>
  </si>
  <si>
    <t>liters</t>
  </si>
  <si>
    <t>Propaan materieel</t>
  </si>
  <si>
    <r>
      <t>CO</t>
    </r>
    <r>
      <rPr>
        <b/>
        <sz val="16"/>
        <color theme="1"/>
        <rFont val="Calibri"/>
        <family val="2"/>
      </rPr>
      <t>₂</t>
    </r>
    <r>
      <rPr>
        <b/>
        <sz val="16"/>
        <color theme="1"/>
        <rFont val="Calibri"/>
        <family val="2"/>
        <scheme val="minor"/>
      </rPr>
      <t xml:space="preserve"> footprint 2015</t>
    </r>
  </si>
  <si>
    <r>
      <t>CO</t>
    </r>
    <r>
      <rPr>
        <b/>
        <sz val="16"/>
        <color theme="1"/>
        <rFont val="Calibri"/>
        <family val="2"/>
      </rPr>
      <t>₂</t>
    </r>
    <r>
      <rPr>
        <b/>
        <sz val="16"/>
        <color theme="1"/>
        <rFont val="Calibri"/>
        <family val="2"/>
        <scheme val="minor"/>
      </rPr>
      <t xml:space="preserve"> footprint 2013</t>
    </r>
  </si>
  <si>
    <t>Wagenpark incl.</t>
  </si>
  <si>
    <t>1 januari 2013 t/m 30 juni 2013</t>
  </si>
  <si>
    <r>
      <t>CO</t>
    </r>
    <r>
      <rPr>
        <b/>
        <sz val="16"/>
        <color theme="1"/>
        <rFont val="Calibri"/>
        <family val="2"/>
      </rPr>
      <t>₂</t>
    </r>
    <r>
      <rPr>
        <b/>
        <sz val="16"/>
        <color theme="1"/>
        <rFont val="Calibri"/>
        <family val="2"/>
        <scheme val="minor"/>
      </rPr>
      <t xml:space="preserve"> footprint 2014-H1</t>
    </r>
  </si>
  <si>
    <t>1 januari 2014 t/m 30 juni 2014</t>
  </si>
  <si>
    <t>1 januari 2016 t/m 31 december 2016</t>
  </si>
  <si>
    <r>
      <t>CO</t>
    </r>
    <r>
      <rPr>
        <b/>
        <sz val="16"/>
        <color theme="1"/>
        <rFont val="Calibri"/>
        <family val="2"/>
      </rPr>
      <t>₂</t>
    </r>
    <r>
      <rPr>
        <b/>
        <sz val="16"/>
        <color theme="1"/>
        <rFont val="Calibri"/>
        <family val="2"/>
        <scheme val="minor"/>
      </rPr>
      <t xml:space="preserve"> footprint 2012</t>
    </r>
  </si>
  <si>
    <t>1 januari 2012 t/m 31 december 2012</t>
  </si>
  <si>
    <t>kg x 2 = liters</t>
  </si>
  <si>
    <r>
      <t>CO</t>
    </r>
    <r>
      <rPr>
        <b/>
        <sz val="16"/>
        <color theme="1"/>
        <rFont val="Calibri"/>
        <family val="2"/>
      </rPr>
      <t>₂</t>
    </r>
    <r>
      <rPr>
        <b/>
        <sz val="16"/>
        <color theme="1"/>
        <rFont val="Calibri"/>
        <family val="2"/>
        <scheme val="minor"/>
      </rPr>
      <t xml:space="preserve"> footprint 2016</t>
    </r>
  </si>
  <si>
    <t>Onderbouwing Footprint</t>
  </si>
  <si>
    <t>Gas</t>
  </si>
  <si>
    <t>Rekening</t>
  </si>
  <si>
    <t>Electrabel</t>
  </si>
  <si>
    <t>standen</t>
  </si>
  <si>
    <t>per maand</t>
  </si>
  <si>
    <t>2x</t>
  </si>
  <si>
    <t>Nuon</t>
  </si>
  <si>
    <t>10x</t>
  </si>
  <si>
    <t>Berekening</t>
  </si>
  <si>
    <t>hoog</t>
  </si>
  <si>
    <t>laag</t>
  </si>
  <si>
    <t>Verrekening</t>
  </si>
  <si>
    <t xml:space="preserve">Teruggave </t>
  </si>
  <si>
    <t xml:space="preserve">Er zit een verschil tussen de eindstand van Electrabel en de beginstand van Nuon. Kreeft gaat ervan uit dat de de beginstand van Nuon correct is, dit is niet meer te achterhalen. </t>
  </si>
  <si>
    <t>Herberekening!</t>
  </si>
  <si>
    <t>Standen</t>
  </si>
  <si>
    <t>Vanaf 2013 heeft Kreeft de intensie om niet meer uit te gaan van de standen van energienota, maar tevens van eigen waarneming</t>
  </si>
  <si>
    <t>Vanaf 1-5-2013 koopt Kreeft groene stroom in. Omdat daar geen SMK keurmerk van is, is dit in de footprint berekend als grijze stroom. Kreeft heeft de intentie om dit op korte termijn definitief te veranderen naar groene stroom (wind energie).</t>
  </si>
  <si>
    <t>datum</t>
  </si>
  <si>
    <t>periode</t>
  </si>
  <si>
    <t>Totaal elektriciteit</t>
  </si>
  <si>
    <t>Gasverbruik</t>
  </si>
  <si>
    <t>Waterverbruik</t>
  </si>
  <si>
    <t>Kwh</t>
  </si>
  <si>
    <t>totaal</t>
  </si>
  <si>
    <t>Verbruik</t>
  </si>
  <si>
    <t>laag + hoog</t>
  </si>
  <si>
    <t>2013 - H1</t>
  </si>
  <si>
    <t>2013 - H2</t>
  </si>
  <si>
    <t>2013 totaal</t>
  </si>
  <si>
    <t xml:space="preserve"> </t>
  </si>
  <si>
    <t>2014 - H1</t>
  </si>
  <si>
    <t>2014 - H2</t>
  </si>
  <si>
    <t>2014 totaal</t>
  </si>
  <si>
    <t>2015 - H1</t>
  </si>
  <si>
    <t>Stand</t>
  </si>
  <si>
    <t>Electriciteit T1 (laag)</t>
  </si>
  <si>
    <t>Electriciteit T2 (hoog)</t>
  </si>
  <si>
    <t>9 maanden</t>
  </si>
  <si>
    <t>van factuur</t>
  </si>
  <si>
    <t>opname stand</t>
  </si>
  <si>
    <t>schatting op, rekening gehouden met bouwvak</t>
  </si>
  <si>
    <t>2013-H1</t>
  </si>
  <si>
    <t>KPI's</t>
  </si>
  <si>
    <t>FTE kantoor</t>
  </si>
  <si>
    <t>Verreden kilometers</t>
  </si>
  <si>
    <t>graaddagen</t>
  </si>
  <si>
    <t>Koel- en koude middelen zijn uitgesloten: er zijn wel airco's maar worden niet meer gevuld met koel- en koude middelen.</t>
  </si>
  <si>
    <t>droogbranden</t>
  </si>
  <si>
    <t>Omzet (x miljoen)</t>
  </si>
  <si>
    <t>Relateren aan</t>
  </si>
  <si>
    <t>omzet</t>
  </si>
  <si>
    <t>verredenkm</t>
  </si>
  <si>
    <t>FTE</t>
  </si>
  <si>
    <t>verschil</t>
  </si>
  <si>
    <t>euro gas</t>
  </si>
  <si>
    <t>euro elektra</t>
  </si>
  <si>
    <t>Uit email Yvonne: Hieronder de meterstanden, opgenomen op 19 december 2016: T1 - 107690    T2 - 320128    Gas - 246485    Water - 1066</t>
  </si>
  <si>
    <t>In %</t>
  </si>
  <si>
    <t>Verschillen berekenen</t>
  </si>
  <si>
    <r>
      <t>CO</t>
    </r>
    <r>
      <rPr>
        <b/>
        <sz val="16"/>
        <color theme="1"/>
        <rFont val="Calibri"/>
        <family val="2"/>
      </rPr>
      <t>₂</t>
    </r>
    <r>
      <rPr>
        <b/>
        <sz val="16"/>
        <color theme="1"/>
        <rFont val="Calibri"/>
        <family val="2"/>
        <scheme val="minor"/>
      </rPr>
      <t xml:space="preserve"> footprint 2017-H1</t>
    </r>
  </si>
  <si>
    <t>1 januari 2017 t/m 30 juni 2017</t>
  </si>
  <si>
    <t>2017-H1</t>
  </si>
  <si>
    <t>2017 verschil t.o.v. 2012</t>
  </si>
  <si>
    <t>Wagenpark (ton CO2/1000 km)</t>
  </si>
  <si>
    <t xml:space="preserve">Een  onderzekerheid ontstaat doordat de meterstanden niet precies per kalanderjaar zijn doorgegeven. Hierdoor waren we noodzaakt om door een berekening een aanname van het jaar te maken. </t>
  </si>
  <si>
    <t>1 januari 2017 t/m 31 december 2017</t>
  </si>
  <si>
    <t>kg x 2 = liters, flessen van 10,5 kg</t>
  </si>
  <si>
    <r>
      <t>CO</t>
    </r>
    <r>
      <rPr>
        <b/>
        <sz val="16"/>
        <color theme="1"/>
        <rFont val="Calibri"/>
        <family val="2"/>
      </rPr>
      <t>₂</t>
    </r>
    <r>
      <rPr>
        <b/>
        <sz val="16"/>
        <color theme="1"/>
        <rFont val="Calibri"/>
        <family val="2"/>
        <scheme val="minor"/>
      </rPr>
      <t xml:space="preserve"> footprint 2017</t>
    </r>
  </si>
  <si>
    <t>meterstanden Engie</t>
  </si>
  <si>
    <r>
      <t>CO</t>
    </r>
    <r>
      <rPr>
        <b/>
        <sz val="16"/>
        <color theme="1"/>
        <rFont val="Calibri"/>
        <family val="2"/>
      </rPr>
      <t>₂</t>
    </r>
    <r>
      <rPr>
        <b/>
        <sz val="16"/>
        <color theme="1"/>
        <rFont val="Calibri"/>
        <family val="2"/>
        <scheme val="minor"/>
      </rPr>
      <t xml:space="preserve"> footprint 2018-H1</t>
    </r>
  </si>
  <si>
    <t>1 januari 2018 t/m 30 juni 2018</t>
  </si>
  <si>
    <t>2018 H1</t>
  </si>
  <si>
    <t>zichtmeting</t>
  </si>
  <si>
    <t>1 januari 2018 t/m 31 december 2018</t>
  </si>
  <si>
    <r>
      <t>CO</t>
    </r>
    <r>
      <rPr>
        <b/>
        <sz val="16"/>
        <color theme="1"/>
        <rFont val="Calibri"/>
        <family val="2"/>
      </rPr>
      <t>₂</t>
    </r>
    <r>
      <rPr>
        <b/>
        <sz val="16"/>
        <color theme="1"/>
        <rFont val="Calibri"/>
        <family val="2"/>
        <scheme val="minor"/>
      </rPr>
      <t xml:space="preserve"> footprint 2018</t>
    </r>
  </si>
  <si>
    <t>Kreeft Participaties B.V.</t>
  </si>
  <si>
    <t>Diesel</t>
  </si>
  <si>
    <t>Boeking</t>
  </si>
  <si>
    <t>Correctie</t>
  </si>
  <si>
    <t>Diesel S Bakker</t>
  </si>
  <si>
    <t>Benzine</t>
  </si>
  <si>
    <t>Van tankbonnen is niet altijd het aantal liters geboekt. Dit gaat om een te verwaarlozen hoeveelheid (enkele tankingen)</t>
  </si>
  <si>
    <t>354 dagen</t>
  </si>
  <si>
    <t>365 dagen</t>
  </si>
  <si>
    <t>in %</t>
  </si>
  <si>
    <t>2018 dieselverbruik in liters pdf</t>
  </si>
  <si>
    <t>jaarafrekeing Engie</t>
  </si>
  <si>
    <t>2018 h1</t>
  </si>
  <si>
    <t xml:space="preserve">2019 h1 </t>
  </si>
  <si>
    <t>2019 h1</t>
  </si>
  <si>
    <t>1 januari 2019 t/m 30 juni 2019</t>
  </si>
  <si>
    <t xml:space="preserve">234 dagen </t>
  </si>
  <si>
    <t>dagen</t>
  </si>
  <si>
    <t>zichtmeting, zie meterstanden</t>
  </si>
  <si>
    <t>zie meterstanden</t>
  </si>
  <si>
    <r>
      <t>CO</t>
    </r>
    <r>
      <rPr>
        <b/>
        <sz val="16"/>
        <color theme="1"/>
        <rFont val="Calibri"/>
        <family val="2"/>
      </rPr>
      <t>₂</t>
    </r>
    <r>
      <rPr>
        <b/>
        <sz val="16"/>
        <color theme="1"/>
        <rFont val="Calibri"/>
        <family val="2"/>
        <scheme val="minor"/>
      </rPr>
      <t xml:space="preserve"> footprint 2019 h1</t>
    </r>
  </si>
  <si>
    <t>zie pdf</t>
  </si>
  <si>
    <t>44950 - Diesel januari tm juni 2019</t>
  </si>
  <si>
    <t>aantal x 10,5kg x 2 = liters</t>
  </si>
  <si>
    <t>Zakelijke vliegkilometers: deze worden niet gemaakt.</t>
  </si>
  <si>
    <t>Er zijn wel wijzigingen in de berekeningsmethodiek sinds het basisjaar. De CO2- footprint van 2012 is in augustus 2013 berekend en in september 2015 herzien met de nieuwe emissiefactoren van het SKAO handboek versie 3.0 d.d. 10 juni 2015. De wijzigingen in de emissiefactoren zijn bijgehouden t/m 14-10-2019</t>
  </si>
  <si>
    <t>Zie tabbladen footprint -jaartal- tm 2019 h1</t>
  </si>
  <si>
    <t xml:space="preserve">De werkzaamheden van Kreeft Participaties B.V. (Kreeft) bestaan uit het oplossen van problemen in de bouw, zie voor meer informatie de inleiding en de website: www.kreeft.nl. 
Kreeft heeft een kwaliteitsmanagementsysteem gebaseerd op de normen:
- ISO-9001 (2008)  
- VCA** 2008/5.1
- KOMO
- BRL 3201
- CO2 Prestatieladder
Kreeft is een bedrijf met circa 50 personeelsleden in de buitendienst. Zie voor meer informatie: www.kreeft.nl
</t>
  </si>
  <si>
    <t>1 januari 2019 t/m 31 december 2019</t>
  </si>
  <si>
    <r>
      <t>CO</t>
    </r>
    <r>
      <rPr>
        <b/>
        <sz val="16"/>
        <color theme="1"/>
        <rFont val="Calibri"/>
        <family val="2"/>
      </rPr>
      <t>₂</t>
    </r>
    <r>
      <rPr>
        <b/>
        <sz val="16"/>
        <color theme="1"/>
        <rFont val="Calibri"/>
        <family val="2"/>
        <scheme val="minor"/>
      </rPr>
      <t xml:space="preserve"> footprint 2019</t>
    </r>
  </si>
  <si>
    <t>Meerdere</t>
  </si>
  <si>
    <t>344 dagen</t>
  </si>
  <si>
    <t>350 dagen (kerstperiode)</t>
  </si>
  <si>
    <t>Elektriciteit (2014-2016 groene stroom)</t>
  </si>
  <si>
    <t>Energiestromen gerelateerd</t>
  </si>
  <si>
    <t>44930 - LPG 2019.pdf</t>
  </si>
  <si>
    <t>50022 - Propaan 2019.pdf</t>
  </si>
  <si>
    <t>CO2 gegevens 200218.pdf</t>
  </si>
  <si>
    <t>44940- Benzine 2019.pdf</t>
  </si>
  <si>
    <t>Tab meterstanden</t>
  </si>
  <si>
    <t>Handboek 3.0</t>
  </si>
  <si>
    <t>350 dagen</t>
  </si>
  <si>
    <t>Op basis van meterstanden</t>
  </si>
  <si>
    <t>Op basis van factuur</t>
  </si>
  <si>
    <t>Eletriciteit</t>
  </si>
  <si>
    <t>1-1-2019 t/m 31-12-2019</t>
  </si>
  <si>
    <t>1-3-2019 t/m 31-12-2019</t>
  </si>
  <si>
    <t>10 maanden</t>
  </si>
  <si>
    <t>12 maanden</t>
  </si>
  <si>
    <r>
      <t>CO</t>
    </r>
    <r>
      <rPr>
        <b/>
        <sz val="16"/>
        <color theme="1"/>
        <rFont val="Calibri"/>
        <family val="2"/>
      </rPr>
      <t>₂</t>
    </r>
    <r>
      <rPr>
        <b/>
        <sz val="16"/>
        <color theme="1"/>
        <rFont val="Calibri"/>
        <family val="2"/>
        <scheme val="minor"/>
      </rPr>
      <t xml:space="preserve"> footprint 2020</t>
    </r>
  </si>
  <si>
    <t>1 januari 2020 t/m 31 december 2020</t>
  </si>
  <si>
    <t>Handboek 3.1</t>
  </si>
  <si>
    <t xml:space="preserve">Verbruik </t>
  </si>
  <si>
    <t>44950 - Diesel 2020.xlsx</t>
  </si>
  <si>
    <t>44950 - LPG 2020.xlsx</t>
  </si>
  <si>
    <t>50002 - Propaan 2020.xlsx</t>
  </si>
  <si>
    <t>44940 - Benzine 2020.xlsx</t>
  </si>
  <si>
    <t>Tab meterstanden (obv afrekening 2020)</t>
  </si>
  <si>
    <t>1 januari 2021 t/m 31 december 2021</t>
  </si>
  <si>
    <t>Jaarafrekening Elektra</t>
  </si>
  <si>
    <t>Jaarafrekening Gas</t>
  </si>
  <si>
    <t>44950 - Diesel 2021.xlsx</t>
  </si>
  <si>
    <t>44940 - Benzine 2021.xlsx</t>
  </si>
  <si>
    <t>50002 - Propaan 2021.xlsx</t>
  </si>
  <si>
    <t>44950 - LPG 2021.xlsx</t>
  </si>
  <si>
    <t>ISO 14064-1</t>
  </si>
  <si>
    <r>
      <t>CO</t>
    </r>
    <r>
      <rPr>
        <b/>
        <sz val="16"/>
        <color theme="1"/>
        <rFont val="Calibri"/>
        <family val="2"/>
      </rPr>
      <t>₂</t>
    </r>
    <r>
      <rPr>
        <b/>
        <sz val="16"/>
        <color theme="1"/>
        <rFont val="Calibri"/>
        <family val="2"/>
        <scheme val="minor"/>
      </rPr>
      <t xml:space="preserve"> footprint 2021</t>
    </r>
  </si>
  <si>
    <r>
      <t>CO</t>
    </r>
    <r>
      <rPr>
        <b/>
        <sz val="16"/>
        <color theme="1"/>
        <rFont val="Calibri"/>
        <family val="2"/>
      </rPr>
      <t>₂</t>
    </r>
    <r>
      <rPr>
        <b/>
        <sz val="16"/>
        <color theme="1"/>
        <rFont val="Calibri"/>
        <family val="2"/>
        <scheme val="minor"/>
      </rPr>
      <t xml:space="preserve"> footprint 2022</t>
    </r>
  </si>
  <si>
    <t>1 januari 2022 t/m 31 december 2022</t>
  </si>
  <si>
    <t>Eindafrekening gas 2022.pdf</t>
  </si>
  <si>
    <t>Eindafrekening Engie Energie 2022.pdf</t>
  </si>
  <si>
    <t>Benzine 2022.xlsx</t>
  </si>
  <si>
    <t>Propaan 2022.xlsx</t>
  </si>
  <si>
    <t>LPG 2022.xlsx</t>
  </si>
  <si>
    <t>Diesel 2022.xlsx</t>
  </si>
  <si>
    <t>Zakelijke kilometers</t>
  </si>
  <si>
    <t>Scope 3 BT</t>
  </si>
  <si>
    <r>
      <t>kg CO</t>
    </r>
    <r>
      <rPr>
        <sz val="11"/>
        <color theme="1"/>
        <rFont val="Calibri"/>
        <family val="2"/>
      </rPr>
      <t>₂ / km</t>
    </r>
  </si>
  <si>
    <t>Scope 3, BT</t>
  </si>
  <si>
    <t>Opgave Douwe</t>
  </si>
  <si>
    <t>Zakelijke km's</t>
  </si>
  <si>
    <t>Scope 3 (BT)</t>
  </si>
  <si>
    <t>1 januari 2023 t/m 31 december 2023</t>
  </si>
  <si>
    <r>
      <t>CO</t>
    </r>
    <r>
      <rPr>
        <b/>
        <sz val="16"/>
        <color theme="1"/>
        <rFont val="Calibri"/>
        <family val="2"/>
      </rPr>
      <t>₂</t>
    </r>
    <r>
      <rPr>
        <b/>
        <sz val="16"/>
        <color theme="1"/>
        <rFont val="Calibri"/>
        <family val="2"/>
        <scheme val="minor"/>
      </rPr>
      <t xml:space="preserve"> footprint 2023</t>
    </r>
  </si>
  <si>
    <t>Eindafrekening gas 2023.pdf</t>
  </si>
  <si>
    <t>Grootboek 44950. Diesel 2023.xlsx</t>
  </si>
  <si>
    <t>Grootboek 44930. LPG en Gasflessen 2023.xlsx</t>
  </si>
  <si>
    <t>Grootboek 50022. Inkoop Gassen (propaan) 2023.xlsx</t>
  </si>
  <si>
    <t>Grootboek 44940. Benzine Materieel Huurauto's 2023.xlsx</t>
  </si>
  <si>
    <t>Engie. Eindafrekening.pdf 2x</t>
  </si>
  <si>
    <t>1 januari 2024 t/m 31 december 2024</t>
  </si>
  <si>
    <r>
      <t>CO</t>
    </r>
    <r>
      <rPr>
        <b/>
        <sz val="16"/>
        <color theme="1"/>
        <rFont val="Calibri"/>
        <family val="2"/>
      </rPr>
      <t>₂</t>
    </r>
    <r>
      <rPr>
        <b/>
        <sz val="16"/>
        <color theme="1"/>
        <rFont val="Calibri"/>
        <family val="2"/>
        <scheme val="minor"/>
      </rPr>
      <t xml:space="preserve"> footprint 2024</t>
    </r>
  </si>
  <si>
    <t>Gewogen graaddagen (Hoogeveen via KWA adviseurs)</t>
  </si>
  <si>
    <t>2024 verschil t.o.v. 2017</t>
  </si>
  <si>
    <t>2024 verschil t.o.v. 2017)</t>
  </si>
  <si>
    <t>Laden EV's - externe locaties</t>
  </si>
  <si>
    <t>Overzichten Laadpassen Road 2024.xlsx</t>
  </si>
  <si>
    <t>Eindafrekening gas 2024.pdf</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</si>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</sst>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 #,##0.00_ ;_ * \-#,##0.00_ ;_ * &quot;-&quot;??_ ;_ @_ "/>
    <numFmt numFmtId="165" formatCode="_ * #,##0_ ;_ * \-#,##0_ ;_ * &quot;-&quot;??_ ;_ @_ "/>
    <numFmt numFmtId="166" formatCode="0.000"/>
    <numFmt numFmtId="167" formatCode="0.0"/>
    <numFmt numFmtId="168" formatCode="_ * #,##0.0_ ;_ * \-#,##0.0_ ;_ * &quot;-&quot;??_ ;_ @_ "/>
    <numFmt numFmtId="169" formatCode="0.0%"/>
    <numFmt numFmtId="170" formatCode="#,##0.0"/>
    <numFmt numFmtId="171" formatCode="_(&quot;€&quot;* #,##0.00_);_(&quot;€&quot;* \(#,##0.00\);_(&quot;€&quot;* &quot;-&quot;??_);_(@_)"/>
    <numFmt numFmtId="172" formatCode="#,##0.000"/>
  </numFmts>
  <fonts count="50" x14ac:knownFonts="1">
    <font>
      <sz val="11"/>
      <color theme="1"/>
      <name val="Calibri"/>
      <family val="2"/>
      <scheme val="minor"/>
    </font>
    <font>
      <sz val="12"/>
      <color theme="1"/>
      <name val="Calibri"/>
      <family val="2"/>
      <scheme val="minor"/>
    </font>
    <font>
      <sz val="10"/>
      <color theme="1"/>
      <name val="Arial"/>
      <family val="2"/>
    </font>
    <font>
      <sz val="11"/>
      <name val="Calibri"/>
      <family val="2"/>
      <scheme val="minor"/>
    </font>
    <font>
      <sz val="11"/>
      <color theme="1"/>
      <name val="Calibri"/>
      <family val="2"/>
      <scheme val="minor"/>
    </font>
    <font>
      <u/>
      <sz val="11"/>
      <color theme="10"/>
      <name val="Calibri"/>
      <family val="2"/>
    </font>
    <font>
      <b/>
      <sz val="11"/>
      <color theme="1"/>
      <name val="Calibri"/>
      <family val="2"/>
      <scheme val="minor"/>
    </font>
    <font>
      <sz val="11"/>
      <color theme="0"/>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1"/>
      <color theme="1"/>
      <name val="Calibri"/>
      <family val="2"/>
      <scheme val="minor"/>
    </font>
    <font>
      <sz val="11"/>
      <color theme="1"/>
      <name val="Symbol"/>
      <family val="1"/>
      <charset val="2"/>
    </font>
    <font>
      <sz val="7"/>
      <color theme="1"/>
      <name val="Times New Roman"/>
      <family val="1"/>
    </font>
    <font>
      <vertAlign val="superscript"/>
      <sz val="11"/>
      <color theme="1"/>
      <name val="Calibri"/>
      <family val="2"/>
      <scheme val="minor"/>
    </font>
    <font>
      <sz val="10"/>
      <color theme="0"/>
      <name val="Arial"/>
      <family val="2"/>
    </font>
    <font>
      <b/>
      <sz val="11"/>
      <color theme="0"/>
      <name val="Calibri"/>
      <family val="2"/>
      <scheme val="minor"/>
    </font>
    <font>
      <b/>
      <sz val="12"/>
      <name val="Calibri"/>
      <family val="2"/>
      <scheme val="minor"/>
    </font>
    <font>
      <sz val="14"/>
      <color theme="1"/>
      <name val="Calibri"/>
      <family val="2"/>
      <scheme val="minor"/>
    </font>
    <font>
      <sz val="11"/>
      <color theme="1"/>
      <name val="Calibri"/>
      <family val="2"/>
    </font>
    <font>
      <b/>
      <sz val="16"/>
      <color theme="0"/>
      <name val="Calibri"/>
      <family val="2"/>
      <scheme val="minor"/>
    </font>
    <font>
      <b/>
      <sz val="16"/>
      <color theme="1"/>
      <name val="Calibri"/>
      <family val="2"/>
      <scheme val="minor"/>
    </font>
    <font>
      <b/>
      <sz val="16"/>
      <color theme="1"/>
      <name val="Calibri"/>
      <family val="2"/>
    </font>
    <font>
      <b/>
      <sz val="12"/>
      <color theme="1"/>
      <name val="Calibri"/>
      <family val="2"/>
      <scheme val="minor"/>
    </font>
    <font>
      <b/>
      <sz val="12"/>
      <name val="Calibri"/>
      <family val="2"/>
    </font>
    <font>
      <b/>
      <sz val="8"/>
      <name val="Calibri"/>
      <family val="2"/>
      <scheme val="minor"/>
    </font>
    <font>
      <sz val="11"/>
      <name val="Calibri"/>
      <family val="2"/>
    </font>
    <font>
      <b/>
      <sz val="11"/>
      <name val="Calibri"/>
      <family val="2"/>
    </font>
    <font>
      <i/>
      <sz val="11"/>
      <name val="Calibri"/>
      <family val="2"/>
      <scheme val="minor"/>
    </font>
    <font>
      <sz val="10"/>
      <name val="Arial"/>
      <family val="2"/>
    </font>
    <font>
      <sz val="10"/>
      <name val="Arial"/>
      <family val="2"/>
    </font>
    <font>
      <b/>
      <sz val="12"/>
      <name val="Arial"/>
      <family val="2"/>
    </font>
    <font>
      <b/>
      <sz val="10"/>
      <name val="Arial"/>
      <family val="2"/>
    </font>
    <font>
      <u/>
      <sz val="10"/>
      <name val="Arial"/>
      <family val="2"/>
    </font>
    <font>
      <b/>
      <sz val="11"/>
      <name val="Arial"/>
      <family val="2"/>
    </font>
    <font>
      <sz val="10"/>
      <color rgb="FFFF0000"/>
      <name val="Arial"/>
      <family val="2"/>
    </font>
    <font>
      <i/>
      <sz val="10"/>
      <name val="Arial"/>
      <family val="2"/>
    </font>
    <font>
      <b/>
      <sz val="16"/>
      <name val="Arial"/>
      <family val="2"/>
    </font>
    <font>
      <sz val="9"/>
      <name val="Verdana"/>
      <family val="2"/>
    </font>
    <font>
      <sz val="10"/>
      <color rgb="FF333333"/>
      <name val="Arial"/>
      <family val="2"/>
    </font>
    <font>
      <b/>
      <sz val="8"/>
      <color theme="1"/>
      <name val="Calibri"/>
      <family val="2"/>
      <scheme val="minor"/>
    </font>
    <font>
      <b/>
      <sz val="10"/>
      <color rgb="FFFF0000"/>
      <name val="Calibri"/>
      <family val="2"/>
      <scheme val="minor"/>
    </font>
    <font>
      <sz val="11"/>
      <color rgb="FFFF0000"/>
      <name val="Calibri"/>
      <family val="2"/>
      <scheme val="minor"/>
    </font>
    <font>
      <b/>
      <sz val="11"/>
      <color rgb="FFFF0000"/>
      <name val="Calibri"/>
      <family val="2"/>
      <scheme val="minor"/>
    </font>
    <font>
      <sz val="10"/>
      <color rgb="FF000000"/>
      <name val="Tahoma"/>
      <family val="2"/>
    </font>
    <font>
      <b/>
      <sz val="9"/>
      <color rgb="FF000000"/>
      <name val="Tahoma"/>
      <family val="2"/>
    </font>
    <font>
      <sz val="9"/>
      <color rgb="FF000000"/>
      <name val="Tahoma"/>
      <family val="2"/>
    </font>
    <font>
      <sz val="12"/>
      <color theme="1"/>
      <name val="Arial"/>
      <family val="2"/>
    </font>
    <font>
      <b/>
      <sz val="10"/>
      <color rgb="FF000000"/>
      <name val="Tahoma"/>
      <family val="2"/>
    </font>
  </fonts>
  <fills count="10">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D8293D"/>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auto="1"/>
      </bottom>
      <diagonal/>
    </border>
    <border>
      <left style="thin">
        <color auto="1"/>
      </left>
      <right style="medium">
        <color indexed="64"/>
      </right>
      <top style="thin">
        <color auto="1"/>
      </top>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style="thin">
        <color indexed="64"/>
      </top>
      <bottom/>
      <diagonal/>
    </border>
    <border>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thin">
        <color theme="1"/>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10">
    <xf numFmtId="0" fontId="0" fillId="0" borderId="0"/>
    <xf numFmtId="164" fontId="4" fillId="0" borderId="0" applyFont="0" applyFill="0" applyBorder="0" applyAlignment="0" applyProtection="0"/>
    <xf numFmtId="0" fontId="5" fillId="0" borderId="0" applyNumberFormat="0" applyFill="0" applyBorder="0" applyAlignment="0" applyProtection="0">
      <alignment vertical="top"/>
      <protection locked="0"/>
    </xf>
    <xf numFmtId="9" fontId="4" fillId="0" borderId="0" applyFont="0" applyFill="0" applyBorder="0" applyAlignment="0" applyProtection="0"/>
    <xf numFmtId="0" fontId="30" fillId="0" borderId="0"/>
    <xf numFmtId="0" fontId="31" fillId="0" borderId="0"/>
    <xf numFmtId="164" fontId="30" fillId="0" borderId="0" applyFont="0" applyFill="0" applyBorder="0" applyAlignment="0" applyProtection="0"/>
    <xf numFmtId="0" fontId="30" fillId="0" borderId="0"/>
    <xf numFmtId="171" fontId="30" fillId="0" borderId="0" applyFont="0" applyFill="0" applyBorder="0" applyAlignment="0" applyProtection="0"/>
    <xf numFmtId="0" fontId="1" fillId="0" borderId="0"/>
  </cellStyleXfs>
  <cellXfs count="353">
    <xf numFmtId="0" fontId="0" fillId="0" borderId="0" xfId="0"/>
    <xf numFmtId="0" fontId="2" fillId="0" borderId="0" xfId="0" applyFont="1"/>
    <xf numFmtId="3" fontId="2" fillId="0" borderId="1" xfId="0" applyNumberFormat="1" applyFont="1" applyBorder="1"/>
    <xf numFmtId="0" fontId="5" fillId="0" borderId="1" xfId="2" applyBorder="1" applyAlignment="1" applyProtection="1">
      <alignment vertical="top" wrapText="1"/>
    </xf>
    <xf numFmtId="0" fontId="10" fillId="0" borderId="0" xfId="0" applyFont="1"/>
    <xf numFmtId="14" fontId="0" fillId="0" borderId="0" xfId="0" applyNumberFormat="1"/>
    <xf numFmtId="0" fontId="13" fillId="0" borderId="0" xfId="0" applyFont="1" applyAlignment="1">
      <alignment horizontal="left" indent="5"/>
    </xf>
    <xf numFmtId="0" fontId="8" fillId="0" borderId="0" xfId="0" applyFont="1" applyAlignment="1">
      <alignment vertical="top"/>
    </xf>
    <xf numFmtId="0" fontId="0" fillId="0" borderId="1" xfId="0" applyBorder="1" applyAlignment="1">
      <alignment vertical="top" wrapText="1"/>
    </xf>
    <xf numFmtId="0" fontId="0" fillId="0" borderId="1" xfId="0" applyBorder="1" applyAlignment="1">
      <alignment vertical="top"/>
    </xf>
    <xf numFmtId="0" fontId="0" fillId="0" borderId="3" xfId="0" applyBorder="1" applyAlignment="1">
      <alignment horizontal="left" vertical="top"/>
    </xf>
    <xf numFmtId="0" fontId="0" fillId="0" borderId="1" xfId="0" applyBorder="1" applyAlignment="1">
      <alignment horizontal="right" vertical="top"/>
    </xf>
    <xf numFmtId="0" fontId="0" fillId="0" borderId="2" xfId="0" applyBorder="1" applyAlignment="1">
      <alignment vertical="top" wrapText="1"/>
    </xf>
    <xf numFmtId="0" fontId="0" fillId="0" borderId="5" xfId="0" applyBorder="1" applyAlignment="1">
      <alignment vertical="top"/>
    </xf>
    <xf numFmtId="0" fontId="0" fillId="0" borderId="4" xfId="0" applyBorder="1" applyAlignment="1">
      <alignment vertical="top"/>
    </xf>
    <xf numFmtId="0" fontId="10" fillId="0" borderId="0" xfId="0" applyFont="1" applyAlignment="1">
      <alignment vertical="top"/>
    </xf>
    <xf numFmtId="0" fontId="0" fillId="0" borderId="7" xfId="0" applyBorder="1" applyAlignment="1">
      <alignment vertical="top"/>
    </xf>
    <xf numFmtId="0" fontId="0" fillId="0" borderId="12" xfId="0" applyBorder="1" applyAlignment="1">
      <alignment vertical="top"/>
    </xf>
    <xf numFmtId="0" fontId="0" fillId="0" borderId="6" xfId="0" applyBorder="1" applyAlignment="1">
      <alignment vertical="top"/>
    </xf>
    <xf numFmtId="0" fontId="7" fillId="0" borderId="0" xfId="0" applyFont="1" applyAlignment="1">
      <alignment horizontal="left" vertical="top" wrapText="1"/>
    </xf>
    <xf numFmtId="0" fontId="16" fillId="0" borderId="0" xfId="0" applyFont="1"/>
    <xf numFmtId="0" fontId="11" fillId="0" borderId="0" xfId="0" applyFont="1" applyAlignment="1">
      <alignment vertical="top"/>
    </xf>
    <xf numFmtId="0" fontId="18" fillId="3" borderId="1" xfId="0" applyFont="1" applyFill="1" applyBorder="1" applyAlignment="1">
      <alignment vertical="top" wrapText="1"/>
    </xf>
    <xf numFmtId="0" fontId="18" fillId="3" borderId="1" xfId="0" applyFont="1" applyFill="1" applyBorder="1" applyAlignment="1">
      <alignment horizontal="center" vertical="center" wrapText="1"/>
    </xf>
    <xf numFmtId="0" fontId="17" fillId="2" borderId="3" xfId="0" applyFont="1" applyFill="1" applyBorder="1" applyAlignment="1">
      <alignment vertical="top"/>
    </xf>
    <xf numFmtId="0" fontId="17" fillId="2" borderId="13" xfId="0" applyFont="1" applyFill="1" applyBorder="1" applyAlignment="1">
      <alignment vertical="top"/>
    </xf>
    <xf numFmtId="0" fontId="17" fillId="2" borderId="4" xfId="0" applyFont="1" applyFill="1" applyBorder="1" applyAlignment="1">
      <alignment vertical="top"/>
    </xf>
    <xf numFmtId="0" fontId="0" fillId="0" borderId="4" xfId="0" applyBorder="1" applyAlignment="1">
      <alignment vertical="top" wrapText="1"/>
    </xf>
    <xf numFmtId="0" fontId="18" fillId="3" borderId="1" xfId="0" applyFont="1" applyFill="1" applyBorder="1" applyAlignment="1">
      <alignment horizontal="left" vertical="center" wrapText="1"/>
    </xf>
    <xf numFmtId="166" fontId="0" fillId="0" borderId="7" xfId="0" applyNumberFormat="1" applyBorder="1" applyAlignment="1">
      <alignment vertical="top"/>
    </xf>
    <xf numFmtId="2" fontId="0" fillId="0" borderId="1" xfId="0" applyNumberFormat="1" applyBorder="1" applyAlignment="1">
      <alignment vertical="top" wrapText="1"/>
    </xf>
    <xf numFmtId="0" fontId="17" fillId="2" borderId="16" xfId="0" applyFont="1" applyFill="1" applyBorder="1" applyAlignment="1">
      <alignment vertical="top"/>
    </xf>
    <xf numFmtId="2" fontId="21" fillId="2" borderId="16" xfId="0" applyNumberFormat="1" applyFont="1" applyFill="1" applyBorder="1" applyAlignment="1">
      <alignment vertical="top"/>
    </xf>
    <xf numFmtId="0" fontId="21" fillId="2" borderId="10" xfId="0" applyFont="1" applyFill="1" applyBorder="1" applyAlignment="1">
      <alignment vertical="top"/>
    </xf>
    <xf numFmtId="164" fontId="0" fillId="0" borderId="1" xfId="0" applyNumberFormat="1" applyBorder="1" applyAlignment="1">
      <alignment vertical="top"/>
    </xf>
    <xf numFmtId="164" fontId="0" fillId="0" borderId="4" xfId="0" applyNumberFormat="1" applyBorder="1" applyAlignment="1">
      <alignment vertical="top"/>
    </xf>
    <xf numFmtId="3" fontId="2" fillId="0" borderId="1" xfId="0" applyNumberFormat="1" applyFont="1" applyBorder="1" applyAlignment="1">
      <alignment wrapText="1"/>
    </xf>
    <xf numFmtId="165" fontId="0" fillId="0" borderId="4" xfId="1" applyNumberFormat="1" applyFont="1" applyBorder="1" applyAlignment="1">
      <alignment vertical="top"/>
    </xf>
    <xf numFmtId="164" fontId="0" fillId="0" borderId="1" xfId="0" applyNumberFormat="1" applyBorder="1" applyAlignment="1">
      <alignment vertical="top" wrapText="1"/>
    </xf>
    <xf numFmtId="164" fontId="21" fillId="2" borderId="16" xfId="1" applyFont="1" applyFill="1" applyBorder="1" applyAlignment="1">
      <alignment vertical="top"/>
    </xf>
    <xf numFmtId="2" fontId="10" fillId="0" borderId="0" xfId="0" applyNumberFormat="1" applyFont="1" applyAlignment="1">
      <alignment vertical="top"/>
    </xf>
    <xf numFmtId="0" fontId="6" fillId="0" borderId="0" xfId="0" applyFont="1" applyAlignment="1">
      <alignment vertical="top"/>
    </xf>
    <xf numFmtId="0" fontId="24" fillId="0" borderId="1" xfId="0" applyFont="1" applyBorder="1" applyAlignment="1">
      <alignment vertical="top"/>
    </xf>
    <xf numFmtId="2" fontId="24" fillId="0" borderId="1" xfId="0" applyNumberFormat="1" applyFont="1" applyBorder="1" applyAlignment="1">
      <alignment vertical="top"/>
    </xf>
    <xf numFmtId="0" fontId="24" fillId="0" borderId="3" xfId="0" applyFont="1" applyBorder="1" applyAlignment="1">
      <alignment vertical="top"/>
    </xf>
    <xf numFmtId="0" fontId="24" fillId="0" borderId="4" xfId="0" applyFont="1" applyBorder="1" applyAlignment="1">
      <alignment vertical="top"/>
    </xf>
    <xf numFmtId="0" fontId="24" fillId="0" borderId="2" xfId="0" applyFont="1" applyBorder="1" applyAlignment="1">
      <alignment vertical="top"/>
    </xf>
    <xf numFmtId="2" fontId="24" fillId="0" borderId="2" xfId="0" applyNumberFormat="1" applyFont="1" applyBorder="1" applyAlignment="1">
      <alignment vertical="top"/>
    </xf>
    <xf numFmtId="165" fontId="0" fillId="0" borderId="5" xfId="1" applyNumberFormat="1" applyFont="1" applyBorder="1" applyAlignment="1">
      <alignment vertical="top"/>
    </xf>
    <xf numFmtId="4" fontId="17" fillId="2" borderId="13" xfId="0" applyNumberFormat="1" applyFont="1" applyFill="1" applyBorder="1" applyAlignment="1">
      <alignment vertical="top"/>
    </xf>
    <xf numFmtId="0" fontId="24" fillId="0" borderId="0" xfId="0" applyFont="1" applyAlignment="1">
      <alignment vertical="top"/>
    </xf>
    <xf numFmtId="2" fontId="24" fillId="0" borderId="0" xfId="0" applyNumberFormat="1" applyFont="1" applyAlignment="1">
      <alignment vertical="top"/>
    </xf>
    <xf numFmtId="0" fontId="18" fillId="3" borderId="1" xfId="0" applyFont="1" applyFill="1" applyBorder="1" applyAlignment="1">
      <alignment horizontal="center" vertical="top" wrapText="1"/>
    </xf>
    <xf numFmtId="0" fontId="17" fillId="2" borderId="13" xfId="0" applyFont="1" applyFill="1" applyBorder="1" applyAlignment="1">
      <alignment horizontal="center" vertical="top"/>
    </xf>
    <xf numFmtId="164" fontId="0" fillId="0" borderId="1" xfId="1" applyFont="1" applyBorder="1" applyAlignment="1">
      <alignment vertical="top" wrapText="1"/>
    </xf>
    <xf numFmtId="164" fontId="17" fillId="2" borderId="13" xfId="1" applyFont="1" applyFill="1" applyBorder="1" applyAlignment="1">
      <alignment vertical="top"/>
    </xf>
    <xf numFmtId="0" fontId="24" fillId="0" borderId="0" xfId="0" applyFont="1" applyAlignment="1">
      <alignment horizontal="center" vertical="top"/>
    </xf>
    <xf numFmtId="0" fontId="24" fillId="0" borderId="1" xfId="0" applyFont="1" applyBorder="1" applyAlignment="1">
      <alignment horizontal="center" vertical="top"/>
    </xf>
    <xf numFmtId="0" fontId="24" fillId="0" borderId="8" xfId="0" applyFont="1" applyBorder="1" applyAlignment="1">
      <alignment vertical="top"/>
    </xf>
    <xf numFmtId="2" fontId="11" fillId="0" borderId="1" xfId="0" applyNumberFormat="1" applyFont="1" applyBorder="1" applyAlignment="1">
      <alignment vertical="top"/>
    </xf>
    <xf numFmtId="164" fontId="0" fillId="0" borderId="1" xfId="1" applyFont="1" applyBorder="1" applyAlignment="1">
      <alignment vertical="top"/>
    </xf>
    <xf numFmtId="0" fontId="26" fillId="3" borderId="1" xfId="0" applyFont="1" applyFill="1" applyBorder="1" applyAlignment="1">
      <alignment horizontal="center" vertical="top" wrapText="1"/>
    </xf>
    <xf numFmtId="169" fontId="0" fillId="0" borderId="1" xfId="3" applyNumberFormat="1" applyFont="1" applyBorder="1" applyAlignment="1">
      <alignment vertical="top" wrapText="1"/>
    </xf>
    <xf numFmtId="0" fontId="10" fillId="0" borderId="1" xfId="0" applyFont="1" applyBorder="1" applyAlignment="1">
      <alignment vertical="top"/>
    </xf>
    <xf numFmtId="0" fontId="0" fillId="0" borderId="1" xfId="0" applyBorder="1" applyAlignment="1">
      <alignment horizontal="left" indent="1"/>
    </xf>
    <xf numFmtId="0" fontId="18" fillId="3" borderId="1" xfId="0" applyFont="1" applyFill="1" applyBorder="1" applyAlignment="1">
      <alignment horizontal="left" vertical="top" wrapText="1"/>
    </xf>
    <xf numFmtId="0" fontId="27" fillId="0" borderId="1" xfId="2" applyFont="1" applyBorder="1" applyAlignment="1" applyProtection="1">
      <alignment vertical="top" wrapText="1"/>
    </xf>
    <xf numFmtId="0" fontId="3" fillId="0" borderId="1" xfId="0" applyFont="1" applyBorder="1" applyAlignment="1">
      <alignment horizontal="left" vertical="top" wrapText="1"/>
    </xf>
    <xf numFmtId="3" fontId="2" fillId="0" borderId="1" xfId="0" applyNumberFormat="1"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xf>
    <xf numFmtId="0" fontId="3" fillId="0" borderId="4" xfId="0" applyFont="1" applyBorder="1" applyAlignment="1">
      <alignment horizontal="left" vertical="top"/>
    </xf>
    <xf numFmtId="0" fontId="29" fillId="0" borderId="1" xfId="0" applyFont="1" applyBorder="1" applyAlignment="1">
      <alignment vertical="top" wrapText="1"/>
    </xf>
    <xf numFmtId="0" fontId="3" fillId="0" borderId="1" xfId="0" applyFont="1" applyBorder="1" applyAlignment="1">
      <alignment horizontal="center" wrapText="1"/>
    </xf>
    <xf numFmtId="0" fontId="3" fillId="0" borderId="0" xfId="0" applyFont="1" applyAlignment="1">
      <alignment horizontal="left"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horizontal="center" vertical="top"/>
    </xf>
    <xf numFmtId="0" fontId="24" fillId="4" borderId="0" xfId="0" applyFont="1" applyFill="1" applyAlignment="1">
      <alignment horizontal="right" vertical="top" wrapText="1"/>
    </xf>
    <xf numFmtId="0" fontId="24" fillId="4" borderId="0" xfId="0" applyFont="1" applyFill="1" applyAlignment="1">
      <alignment vertical="top" wrapText="1"/>
    </xf>
    <xf numFmtId="3" fontId="2" fillId="0" borderId="6" xfId="0" applyNumberFormat="1" applyFont="1" applyBorder="1" applyAlignment="1">
      <alignment horizontal="center" vertical="top"/>
    </xf>
    <xf numFmtId="0" fontId="3" fillId="0" borderId="4" xfId="0" applyFont="1"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center" wrapText="1"/>
    </xf>
    <xf numFmtId="0" fontId="19" fillId="0" borderId="0" xfId="0" applyFont="1" applyAlignment="1">
      <alignment vertical="top"/>
    </xf>
    <xf numFmtId="0" fontId="22" fillId="0" borderId="0" xfId="0" applyFont="1" applyAlignment="1">
      <alignment vertical="top"/>
    </xf>
    <xf numFmtId="0" fontId="0" fillId="0" borderId="2" xfId="0" applyBorder="1" applyAlignment="1">
      <alignment horizontal="left" vertical="top" wrapText="1"/>
    </xf>
    <xf numFmtId="168" fontId="0" fillId="0" borderId="5" xfId="1" applyNumberFormat="1" applyFont="1" applyBorder="1" applyAlignment="1">
      <alignment vertical="top"/>
    </xf>
    <xf numFmtId="165" fontId="0" fillId="0" borderId="1" xfId="0" applyNumberFormat="1" applyBorder="1" applyAlignment="1">
      <alignment vertical="top"/>
    </xf>
    <xf numFmtId="0" fontId="30" fillId="0" borderId="0" xfId="4"/>
    <xf numFmtId="0" fontId="32" fillId="0" borderId="0" xfId="4" applyFont="1"/>
    <xf numFmtId="0" fontId="34" fillId="0" borderId="0" xfId="4" applyFont="1"/>
    <xf numFmtId="14" fontId="30" fillId="0" borderId="0" xfId="4" applyNumberFormat="1"/>
    <xf numFmtId="3" fontId="30" fillId="0" borderId="0" xfId="4" applyNumberFormat="1"/>
    <xf numFmtId="167" fontId="30" fillId="0" borderId="0" xfId="4" applyNumberFormat="1"/>
    <xf numFmtId="0" fontId="30" fillId="0" borderId="16" xfId="4" applyBorder="1"/>
    <xf numFmtId="0" fontId="33" fillId="0" borderId="0" xfId="4" applyFont="1"/>
    <xf numFmtId="170" fontId="33" fillId="0" borderId="0" xfId="4" applyNumberFormat="1" applyFont="1"/>
    <xf numFmtId="0" fontId="35" fillId="0" borderId="0" xfId="4" applyFont="1"/>
    <xf numFmtId="3" fontId="36" fillId="0" borderId="0" xfId="4" applyNumberFormat="1" applyFont="1"/>
    <xf numFmtId="167" fontId="36" fillId="0" borderId="0" xfId="4" applyNumberFormat="1" applyFont="1"/>
    <xf numFmtId="0" fontId="37" fillId="0" borderId="0" xfId="4" applyFont="1" applyAlignment="1">
      <alignment horizontal="left" wrapText="1"/>
    </xf>
    <xf numFmtId="167" fontId="30" fillId="0" borderId="16" xfId="4" applyNumberFormat="1" applyBorder="1"/>
    <xf numFmtId="16" fontId="30" fillId="0" borderId="0" xfId="4" applyNumberFormat="1"/>
    <xf numFmtId="0" fontId="37" fillId="0" borderId="0" xfId="4" applyFont="1" applyAlignment="1">
      <alignment horizontal="left" vertical="top" wrapText="1"/>
    </xf>
    <xf numFmtId="0" fontId="33" fillId="0" borderId="22" xfId="4" applyFont="1" applyBorder="1" applyAlignment="1">
      <alignment horizontal="center" vertical="center" wrapText="1"/>
    </xf>
    <xf numFmtId="0" fontId="33" fillId="0" borderId="1" xfId="4" applyFont="1" applyBorder="1" applyAlignment="1">
      <alignment horizontal="center" wrapText="1"/>
    </xf>
    <xf numFmtId="0" fontId="30" fillId="0" borderId="23" xfId="4" applyBorder="1" applyAlignment="1">
      <alignment horizontal="right"/>
    </xf>
    <xf numFmtId="0" fontId="30" fillId="0" borderId="0" xfId="4" applyAlignment="1">
      <alignment horizontal="right"/>
    </xf>
    <xf numFmtId="0" fontId="33" fillId="0" borderId="9" xfId="4" applyFont="1" applyBorder="1" applyAlignment="1">
      <alignment horizontal="center" wrapText="1"/>
    </xf>
    <xf numFmtId="0" fontId="33" fillId="0" borderId="2" xfId="4" applyFont="1" applyBorder="1" applyAlignment="1">
      <alignment horizontal="center" wrapText="1"/>
    </xf>
    <xf numFmtId="14" fontId="30" fillId="0" borderId="14" xfId="4" applyNumberFormat="1" applyBorder="1"/>
    <xf numFmtId="14" fontId="30" fillId="0" borderId="14" xfId="4" applyNumberFormat="1" applyBorder="1" applyAlignment="1">
      <alignment horizontal="right"/>
    </xf>
    <xf numFmtId="0" fontId="33" fillId="0" borderId="23" xfId="4" applyFont="1" applyBorder="1" applyAlignment="1">
      <alignment horizontal="right"/>
    </xf>
    <xf numFmtId="14" fontId="30" fillId="0" borderId="31" xfId="4" applyNumberFormat="1" applyBorder="1"/>
    <xf numFmtId="0" fontId="30" fillId="0" borderId="14" xfId="4" applyBorder="1"/>
    <xf numFmtId="3" fontId="30" fillId="0" borderId="12" xfId="4" applyNumberFormat="1" applyBorder="1"/>
    <xf numFmtId="0" fontId="33" fillId="0" borderId="25" xfId="4" applyFont="1" applyBorder="1" applyAlignment="1">
      <alignment horizontal="center" wrapText="1"/>
    </xf>
    <xf numFmtId="165" fontId="30" fillId="0" borderId="14" xfId="1" applyNumberFormat="1" applyFont="1" applyBorder="1"/>
    <xf numFmtId="165" fontId="30" fillId="0" borderId="31" xfId="1" applyNumberFormat="1" applyFont="1" applyBorder="1"/>
    <xf numFmtId="165" fontId="30" fillId="0" borderId="1" xfId="1" applyNumberFormat="1" applyFont="1" applyBorder="1"/>
    <xf numFmtId="165" fontId="30" fillId="0" borderId="7" xfId="1" applyNumberFormat="1" applyFont="1" applyBorder="1"/>
    <xf numFmtId="165" fontId="30" fillId="0" borderId="7" xfId="1" applyNumberFormat="1" applyFont="1" applyBorder="1" applyAlignment="1">
      <alignment horizontal="right"/>
    </xf>
    <xf numFmtId="165" fontId="30" fillId="0" borderId="1" xfId="1" applyNumberFormat="1" applyFont="1" applyBorder="1" applyAlignment="1"/>
    <xf numFmtId="165" fontId="30" fillId="0" borderId="23" xfId="1" applyNumberFormat="1" applyFont="1" applyBorder="1"/>
    <xf numFmtId="165" fontId="33" fillId="0" borderId="1" xfId="1" applyNumberFormat="1" applyFont="1" applyBorder="1"/>
    <xf numFmtId="165" fontId="30" fillId="0" borderId="30" xfId="1" applyNumberFormat="1" applyFont="1" applyBorder="1"/>
    <xf numFmtId="165" fontId="30" fillId="0" borderId="24" xfId="1" applyNumberFormat="1" applyFont="1" applyBorder="1"/>
    <xf numFmtId="165" fontId="30" fillId="0" borderId="15" xfId="1" applyNumberFormat="1" applyFont="1" applyBorder="1"/>
    <xf numFmtId="165" fontId="33" fillId="0" borderId="7" xfId="1" applyNumberFormat="1" applyFont="1" applyBorder="1"/>
    <xf numFmtId="2" fontId="0" fillId="0" borderId="1" xfId="0" applyNumberFormat="1" applyBorder="1" applyAlignment="1">
      <alignment vertical="top"/>
    </xf>
    <xf numFmtId="165" fontId="10" fillId="0" borderId="1" xfId="1" applyNumberFormat="1" applyFont="1" applyBorder="1" applyAlignment="1">
      <alignment vertical="top"/>
    </xf>
    <xf numFmtId="0" fontId="18" fillId="0" borderId="1" xfId="0" applyFont="1" applyBorder="1" applyAlignment="1">
      <alignment vertical="top" wrapText="1"/>
    </xf>
    <xf numFmtId="2" fontId="11" fillId="0" borderId="0" xfId="0" applyNumberFormat="1" applyFont="1" applyAlignment="1">
      <alignment vertical="top"/>
    </xf>
    <xf numFmtId="164" fontId="0" fillId="0" borderId="5" xfId="1" applyFont="1" applyBorder="1" applyAlignment="1">
      <alignment vertical="top"/>
    </xf>
    <xf numFmtId="164" fontId="0" fillId="0" borderId="4" xfId="1" applyFont="1" applyBorder="1" applyAlignment="1">
      <alignment vertical="top"/>
    </xf>
    <xf numFmtId="164" fontId="17" fillId="2" borderId="13" xfId="0" applyNumberFormat="1" applyFont="1" applyFill="1" applyBorder="1" applyAlignment="1">
      <alignment vertical="top"/>
    </xf>
    <xf numFmtId="164" fontId="0" fillId="0" borderId="1" xfId="0" applyNumberFormat="1" applyBorder="1" applyAlignment="1">
      <alignment horizontal="right" vertical="top"/>
    </xf>
    <xf numFmtId="164" fontId="0" fillId="0" borderId="7" xfId="1" applyFont="1" applyBorder="1" applyAlignment="1">
      <alignment vertical="top"/>
    </xf>
    <xf numFmtId="4" fontId="0" fillId="0" borderId="0" xfId="0" applyNumberFormat="1"/>
    <xf numFmtId="0" fontId="9" fillId="0" borderId="16" xfId="0" applyFont="1" applyBorder="1" applyAlignment="1">
      <alignment horizontal="center" vertical="center"/>
    </xf>
    <xf numFmtId="1" fontId="0" fillId="0" borderId="5" xfId="0" applyNumberFormat="1" applyBorder="1" applyAlignment="1">
      <alignment vertical="top"/>
    </xf>
    <xf numFmtId="172" fontId="39" fillId="5" borderId="0" xfId="0" applyNumberFormat="1" applyFont="1" applyFill="1" applyAlignment="1">
      <alignment horizontal="right"/>
    </xf>
    <xf numFmtId="3" fontId="2" fillId="0" borderId="0" xfId="0" applyNumberFormat="1" applyFont="1"/>
    <xf numFmtId="164" fontId="0" fillId="0" borderId="5" xfId="1" applyFont="1" applyFill="1" applyBorder="1" applyAlignment="1">
      <alignment vertical="top"/>
    </xf>
    <xf numFmtId="14" fontId="24" fillId="4" borderId="0" xfId="0" applyNumberFormat="1" applyFont="1" applyFill="1" applyAlignment="1">
      <alignment horizontal="right" vertical="top" wrapText="1"/>
    </xf>
    <xf numFmtId="0" fontId="10" fillId="0" borderId="2" xfId="0" applyFont="1" applyBorder="1" applyAlignment="1">
      <alignment horizontal="center" vertical="center"/>
    </xf>
    <xf numFmtId="164" fontId="10" fillId="0" borderId="0" xfId="0" applyNumberFormat="1" applyFont="1" applyAlignment="1">
      <alignment vertical="top"/>
    </xf>
    <xf numFmtId="0" fontId="30" fillId="0" borderId="25" xfId="4" applyBorder="1"/>
    <xf numFmtId="0" fontId="30" fillId="0" borderId="32" xfId="4" applyBorder="1" applyAlignment="1">
      <alignment horizontal="right"/>
    </xf>
    <xf numFmtId="165" fontId="30" fillId="0" borderId="25" xfId="1" applyNumberFormat="1" applyFont="1" applyBorder="1"/>
    <xf numFmtId="165" fontId="30" fillId="0" borderId="2" xfId="1" applyNumberFormat="1" applyFont="1" applyBorder="1"/>
    <xf numFmtId="165" fontId="30" fillId="0" borderId="32" xfId="1" applyNumberFormat="1" applyFont="1" applyBorder="1"/>
    <xf numFmtId="16" fontId="30" fillId="0" borderId="25" xfId="4" applyNumberFormat="1" applyBorder="1"/>
    <xf numFmtId="165" fontId="30" fillId="0" borderId="0" xfId="4" applyNumberFormat="1"/>
    <xf numFmtId="0" fontId="33" fillId="0" borderId="25" xfId="4" applyFont="1" applyBorder="1"/>
    <xf numFmtId="0" fontId="33" fillId="0" borderId="32" xfId="4" applyFont="1" applyBorder="1" applyAlignment="1">
      <alignment horizontal="right"/>
    </xf>
    <xf numFmtId="165" fontId="33" fillId="0" borderId="25" xfId="1" applyNumberFormat="1" applyFont="1" applyBorder="1"/>
    <xf numFmtId="165" fontId="33" fillId="0" borderId="2" xfId="1" applyNumberFormat="1" applyFont="1" applyBorder="1"/>
    <xf numFmtId="165" fontId="33" fillId="0" borderId="32" xfId="1" applyNumberFormat="1" applyFont="1" applyBorder="1"/>
    <xf numFmtId="164" fontId="10" fillId="0" borderId="1" xfId="1" applyFont="1" applyBorder="1" applyAlignment="1">
      <alignment vertical="top"/>
    </xf>
    <xf numFmtId="164" fontId="0" fillId="0" borderId="7" xfId="0" applyNumberFormat="1" applyBorder="1" applyAlignment="1">
      <alignment vertical="top"/>
    </xf>
    <xf numFmtId="14" fontId="30" fillId="0" borderId="25" xfId="4" applyNumberFormat="1" applyBorder="1"/>
    <xf numFmtId="14" fontId="30" fillId="0" borderId="24" xfId="4" applyNumberFormat="1" applyBorder="1"/>
    <xf numFmtId="0" fontId="41" fillId="0" borderId="0" xfId="0" applyFont="1" applyAlignment="1">
      <alignment horizontal="center" vertical="top" wrapText="1"/>
    </xf>
    <xf numFmtId="0" fontId="41" fillId="0" borderId="0" xfId="0" applyFont="1" applyAlignment="1">
      <alignment horizontal="center" vertical="top"/>
    </xf>
    <xf numFmtId="9" fontId="24" fillId="0" borderId="0" xfId="3" applyFont="1" applyFill="1" applyBorder="1" applyAlignment="1">
      <alignment vertical="top"/>
    </xf>
    <xf numFmtId="9" fontId="11" fillId="0" borderId="0" xfId="3" applyFont="1" applyFill="1" applyBorder="1" applyAlignment="1">
      <alignment vertical="top"/>
    </xf>
    <xf numFmtId="165" fontId="30" fillId="0" borderId="0" xfId="1" applyNumberFormat="1" applyFont="1" applyBorder="1"/>
    <xf numFmtId="0" fontId="30" fillId="0" borderId="16" xfId="4" applyBorder="1" applyAlignment="1">
      <alignment horizontal="right"/>
    </xf>
    <xf numFmtId="0" fontId="30" fillId="0" borderId="8" xfId="4" applyBorder="1" applyAlignment="1">
      <alignment horizontal="right"/>
    </xf>
    <xf numFmtId="0" fontId="30" fillId="0" borderId="33" xfId="4" applyBorder="1" applyAlignment="1">
      <alignment horizontal="right"/>
    </xf>
    <xf numFmtId="165" fontId="30" fillId="0" borderId="26" xfId="1" applyNumberFormat="1" applyFont="1" applyBorder="1"/>
    <xf numFmtId="165" fontId="30" fillId="0" borderId="34" xfId="1" applyNumberFormat="1" applyFont="1" applyBorder="1"/>
    <xf numFmtId="165" fontId="30" fillId="0" borderId="27" xfId="1" applyNumberFormat="1" applyFont="1" applyBorder="1"/>
    <xf numFmtId="0" fontId="40" fillId="0" borderId="35" xfId="0" applyFont="1" applyBorder="1"/>
    <xf numFmtId="165" fontId="30" fillId="0" borderId="36" xfId="1" applyNumberFormat="1" applyFont="1" applyBorder="1"/>
    <xf numFmtId="165" fontId="30" fillId="0" borderId="35" xfId="1" applyNumberFormat="1" applyFont="1" applyBorder="1"/>
    <xf numFmtId="0" fontId="30" fillId="0" borderId="37" xfId="4" applyBorder="1"/>
    <xf numFmtId="0" fontId="30" fillId="0" borderId="38" xfId="4" applyBorder="1"/>
    <xf numFmtId="0" fontId="30" fillId="0" borderId="39" xfId="4" applyBorder="1"/>
    <xf numFmtId="14" fontId="30" fillId="0" borderId="16" xfId="4" applyNumberFormat="1" applyBorder="1"/>
    <xf numFmtId="165" fontId="30" fillId="0" borderId="38" xfId="4" applyNumberFormat="1" applyBorder="1"/>
    <xf numFmtId="0" fontId="0" fillId="0" borderId="1" xfId="0" applyBorder="1"/>
    <xf numFmtId="0" fontId="30" fillId="0" borderId="22" xfId="4" applyBorder="1"/>
    <xf numFmtId="165" fontId="30" fillId="0" borderId="22" xfId="4" applyNumberFormat="1" applyBorder="1"/>
    <xf numFmtId="0" fontId="30" fillId="0" borderId="40" xfId="4" applyBorder="1"/>
    <xf numFmtId="0" fontId="30" fillId="0" borderId="15" xfId="4" applyBorder="1"/>
    <xf numFmtId="0" fontId="30" fillId="0" borderId="41" xfId="4" applyBorder="1"/>
    <xf numFmtId="14" fontId="30" fillId="0" borderId="21" xfId="4" applyNumberFormat="1" applyBorder="1"/>
    <xf numFmtId="0" fontId="30" fillId="0" borderId="24" xfId="4" applyBorder="1"/>
    <xf numFmtId="0" fontId="30" fillId="0" borderId="42" xfId="4" applyBorder="1"/>
    <xf numFmtId="0" fontId="30" fillId="0" borderId="43" xfId="4" applyBorder="1"/>
    <xf numFmtId="0" fontId="30" fillId="0" borderId="40" xfId="4" applyBorder="1" applyAlignment="1">
      <alignment horizontal="right"/>
    </xf>
    <xf numFmtId="0" fontId="30" fillId="0" borderId="41" xfId="4" applyBorder="1" applyAlignment="1">
      <alignment horizontal="right"/>
    </xf>
    <xf numFmtId="0" fontId="11" fillId="0" borderId="3" xfId="0" applyFont="1" applyBorder="1" applyAlignment="1">
      <alignment vertical="top"/>
    </xf>
    <xf numFmtId="0" fontId="0" fillId="7" borderId="5" xfId="0" applyFill="1" applyBorder="1" applyAlignment="1">
      <alignment vertical="top"/>
    </xf>
    <xf numFmtId="0" fontId="0" fillId="7" borderId="7" xfId="0" applyFill="1" applyBorder="1" applyAlignment="1">
      <alignment vertical="top"/>
    </xf>
    <xf numFmtId="0" fontId="18" fillId="6" borderId="6" xfId="0" applyFont="1" applyFill="1" applyBorder="1" applyAlignment="1">
      <alignment vertical="top" wrapText="1"/>
    </xf>
    <xf numFmtId="0" fontId="6" fillId="7" borderId="6" xfId="0" applyFont="1" applyFill="1" applyBorder="1" applyAlignment="1">
      <alignment vertical="top"/>
    </xf>
    <xf numFmtId="0" fontId="0" fillId="7" borderId="6" xfId="0" applyFill="1" applyBorder="1" applyAlignment="1">
      <alignment vertical="top"/>
    </xf>
    <xf numFmtId="0" fontId="18" fillId="6" borderId="11" xfId="0" applyFont="1" applyFill="1" applyBorder="1" applyAlignment="1">
      <alignment vertical="top" wrapText="1"/>
    </xf>
    <xf numFmtId="0" fontId="18" fillId="6" borderId="12" xfId="0" applyFont="1" applyFill="1" applyBorder="1" applyAlignment="1">
      <alignment vertical="top" wrapText="1"/>
    </xf>
    <xf numFmtId="0" fontId="6" fillId="7" borderId="11" xfId="0" applyFont="1" applyFill="1" applyBorder="1" applyAlignment="1">
      <alignment vertical="top"/>
    </xf>
    <xf numFmtId="0" fontId="6" fillId="7" borderId="12" xfId="0" applyFont="1" applyFill="1" applyBorder="1" applyAlignment="1">
      <alignment vertical="top"/>
    </xf>
    <xf numFmtId="164" fontId="0" fillId="7" borderId="11" xfId="1" applyFont="1" applyFill="1" applyBorder="1" applyAlignment="1">
      <alignment vertical="top"/>
    </xf>
    <xf numFmtId="0" fontId="0" fillId="7" borderId="12" xfId="0" applyFill="1" applyBorder="1" applyAlignment="1">
      <alignment vertical="top"/>
    </xf>
    <xf numFmtId="164" fontId="0" fillId="7" borderId="11" xfId="0" applyNumberFormat="1" applyFill="1" applyBorder="1" applyAlignment="1">
      <alignment vertical="top"/>
    </xf>
    <xf numFmtId="0" fontId="0" fillId="7" borderId="12" xfId="0" applyFill="1" applyBorder="1" applyAlignment="1">
      <alignment vertical="top" wrapText="1"/>
    </xf>
    <xf numFmtId="0" fontId="0" fillId="7" borderId="11" xfId="0" applyFill="1" applyBorder="1" applyAlignment="1">
      <alignment vertical="top"/>
    </xf>
    <xf numFmtId="166" fontId="0" fillId="7" borderId="11" xfId="0" applyNumberFormat="1" applyFill="1" applyBorder="1" applyAlignment="1">
      <alignment vertical="top"/>
    </xf>
    <xf numFmtId="2" fontId="0" fillId="7" borderId="6" xfId="0" applyNumberFormat="1" applyFill="1" applyBorder="1" applyAlignment="1">
      <alignment vertical="top" wrapText="1"/>
    </xf>
    <xf numFmtId="164" fontId="0" fillId="7" borderId="10" xfId="0" applyNumberFormat="1" applyFill="1" applyBorder="1" applyAlignment="1">
      <alignment vertical="top"/>
    </xf>
    <xf numFmtId="166" fontId="0" fillId="7" borderId="10" xfId="0" applyNumberFormat="1" applyFill="1" applyBorder="1" applyAlignment="1">
      <alignment vertical="top"/>
    </xf>
    <xf numFmtId="2" fontId="0" fillId="7" borderId="7" xfId="0" applyNumberFormat="1" applyFill="1" applyBorder="1" applyAlignment="1">
      <alignment vertical="top" wrapText="1"/>
    </xf>
    <xf numFmtId="0" fontId="0" fillId="7" borderId="10" xfId="0" applyFill="1" applyBorder="1" applyAlignment="1">
      <alignment vertical="top"/>
    </xf>
    <xf numFmtId="0" fontId="6" fillId="7" borderId="28" xfId="0" applyFont="1" applyFill="1" applyBorder="1" applyAlignment="1">
      <alignment vertical="top"/>
    </xf>
    <xf numFmtId="0" fontId="6" fillId="7" borderId="35" xfId="0" applyFont="1" applyFill="1" applyBorder="1" applyAlignment="1">
      <alignment vertical="top"/>
    </xf>
    <xf numFmtId="0" fontId="0" fillId="7" borderId="28" xfId="0" applyFill="1" applyBorder="1"/>
    <xf numFmtId="3" fontId="2" fillId="7" borderId="35" xfId="0" applyNumberFormat="1" applyFont="1" applyFill="1" applyBorder="1"/>
    <xf numFmtId="0" fontId="0" fillId="7" borderId="31" xfId="0" applyFill="1" applyBorder="1"/>
    <xf numFmtId="3" fontId="2" fillId="7" borderId="45" xfId="0" applyNumberFormat="1" applyFont="1" applyFill="1" applyBorder="1"/>
    <xf numFmtId="0" fontId="18" fillId="6" borderId="28" xfId="0" applyFont="1" applyFill="1" applyBorder="1" applyAlignment="1">
      <alignment vertical="top" wrapText="1"/>
    </xf>
    <xf numFmtId="0" fontId="18" fillId="6" borderId="35" xfId="0" applyFont="1" applyFill="1" applyBorder="1" applyAlignment="1">
      <alignment horizontal="left" vertical="center" wrapText="1"/>
    </xf>
    <xf numFmtId="0" fontId="18" fillId="6" borderId="50" xfId="0" applyFont="1" applyFill="1" applyBorder="1" applyAlignment="1">
      <alignment vertical="top" wrapText="1"/>
    </xf>
    <xf numFmtId="0" fontId="18" fillId="6" borderId="51" xfId="0" applyFont="1" applyFill="1" applyBorder="1" applyAlignment="1">
      <alignment vertical="top" wrapText="1"/>
    </xf>
    <xf numFmtId="0" fontId="18" fillId="6" borderId="52" xfId="0" applyFont="1" applyFill="1" applyBorder="1" applyAlignment="1">
      <alignment vertical="top" wrapText="1"/>
    </xf>
    <xf numFmtId="0" fontId="18" fillId="6" borderId="53" xfId="0" applyFont="1" applyFill="1" applyBorder="1" applyAlignment="1">
      <alignment vertical="top" wrapText="1"/>
    </xf>
    <xf numFmtId="0" fontId="18" fillId="6" borderId="20" xfId="0" applyFont="1" applyFill="1" applyBorder="1" applyAlignment="1">
      <alignment horizontal="left" vertical="center" wrapText="1"/>
    </xf>
    <xf numFmtId="0" fontId="24" fillId="6" borderId="25" xfId="0" applyFont="1" applyFill="1" applyBorder="1" applyAlignment="1">
      <alignment vertical="top" wrapText="1"/>
    </xf>
    <xf numFmtId="0" fontId="24" fillId="6" borderId="2" xfId="0" applyFont="1" applyFill="1" applyBorder="1" applyAlignment="1">
      <alignment vertical="top" wrapText="1"/>
    </xf>
    <xf numFmtId="0" fontId="24" fillId="6" borderId="8" xfId="0" applyFont="1" applyFill="1" applyBorder="1" applyAlignment="1">
      <alignment vertical="top" wrapText="1"/>
    </xf>
    <xf numFmtId="0" fontId="24" fillId="6" borderId="9" xfId="0" applyFont="1" applyFill="1" applyBorder="1" applyAlignment="1">
      <alignment vertical="top" wrapText="1"/>
    </xf>
    <xf numFmtId="0" fontId="24" fillId="6" borderId="44" xfId="0" applyFont="1" applyFill="1" applyBorder="1" applyAlignment="1">
      <alignment horizontal="left" vertical="center" wrapText="1"/>
    </xf>
    <xf numFmtId="0" fontId="6" fillId="7" borderId="2" xfId="0" applyFont="1" applyFill="1" applyBorder="1" applyAlignment="1">
      <alignment vertical="top"/>
    </xf>
    <xf numFmtId="0" fontId="6" fillId="7" borderId="8" xfId="0" applyFont="1" applyFill="1" applyBorder="1" applyAlignment="1">
      <alignment vertical="top"/>
    </xf>
    <xf numFmtId="0" fontId="6" fillId="7" borderId="9" xfId="0" applyFont="1" applyFill="1" applyBorder="1" applyAlignment="1">
      <alignment vertical="top"/>
    </xf>
    <xf numFmtId="0" fontId="22" fillId="6" borderId="46" xfId="0" applyFont="1" applyFill="1" applyBorder="1" applyAlignment="1">
      <alignment vertical="top"/>
    </xf>
    <xf numFmtId="0" fontId="6" fillId="6" borderId="47" xfId="0" applyFont="1" applyFill="1" applyBorder="1" applyAlignment="1">
      <alignment vertical="top"/>
    </xf>
    <xf numFmtId="0" fontId="6" fillId="6" borderId="48" xfId="0" applyFont="1" applyFill="1" applyBorder="1" applyAlignment="1">
      <alignment vertical="top"/>
    </xf>
    <xf numFmtId="0" fontId="6" fillId="6" borderId="49" xfId="0" applyFont="1" applyFill="1" applyBorder="1" applyAlignment="1">
      <alignment vertical="top"/>
    </xf>
    <xf numFmtId="0" fontId="6" fillId="6" borderId="39" xfId="0" applyFont="1" applyFill="1" applyBorder="1" applyAlignment="1">
      <alignment vertical="top"/>
    </xf>
    <xf numFmtId="165" fontId="2" fillId="7" borderId="10" xfId="1" applyNumberFormat="1" applyFont="1" applyFill="1" applyBorder="1"/>
    <xf numFmtId="0" fontId="6" fillId="7" borderId="25" xfId="0" applyFont="1" applyFill="1" applyBorder="1" applyAlignment="1">
      <alignment vertical="top"/>
    </xf>
    <xf numFmtId="0" fontId="6" fillId="7" borderId="44" xfId="0" applyFont="1" applyFill="1" applyBorder="1" applyAlignment="1">
      <alignment vertical="top"/>
    </xf>
    <xf numFmtId="9" fontId="10" fillId="0" borderId="0" xfId="3" applyFont="1" applyAlignment="1">
      <alignment horizontal="left" vertical="top"/>
    </xf>
    <xf numFmtId="165" fontId="36" fillId="0" borderId="22" xfId="4" applyNumberFormat="1" applyFont="1" applyBorder="1"/>
    <xf numFmtId="0" fontId="42" fillId="0" borderId="0" xfId="0" applyFont="1" applyAlignment="1">
      <alignment horizontal="right" vertical="top"/>
    </xf>
    <xf numFmtId="0" fontId="42" fillId="0" borderId="0" xfId="0" applyFont="1" applyAlignment="1">
      <alignment vertical="top"/>
    </xf>
    <xf numFmtId="43" fontId="42" fillId="0" borderId="0" xfId="0" applyNumberFormat="1" applyFont="1" applyAlignment="1">
      <alignment vertical="top"/>
    </xf>
    <xf numFmtId="169" fontId="42" fillId="0" borderId="0" xfId="3" applyNumberFormat="1" applyFont="1" applyAlignment="1">
      <alignment vertical="top"/>
    </xf>
    <xf numFmtId="167" fontId="22" fillId="6" borderId="47" xfId="0" applyNumberFormat="1" applyFont="1" applyFill="1" applyBorder="1" applyAlignment="1">
      <alignment vertical="top"/>
    </xf>
    <xf numFmtId="1" fontId="30" fillId="0" borderId="54" xfId="4" applyNumberFormat="1" applyBorder="1"/>
    <xf numFmtId="0" fontId="30" fillId="0" borderId="54" xfId="4" applyBorder="1"/>
    <xf numFmtId="165" fontId="4" fillId="7" borderId="11" xfId="1" applyNumberFormat="1" applyFont="1" applyFill="1" applyBorder="1" applyAlignment="1">
      <alignment vertical="top"/>
    </xf>
    <xf numFmtId="165" fontId="0" fillId="8" borderId="11" xfId="0" applyNumberFormat="1" applyFill="1" applyBorder="1" applyAlignment="1">
      <alignment vertical="top"/>
    </xf>
    <xf numFmtId="164" fontId="43" fillId="7" borderId="10" xfId="0" applyNumberFormat="1" applyFont="1" applyFill="1" applyBorder="1" applyAlignment="1">
      <alignment vertical="top"/>
    </xf>
    <xf numFmtId="169" fontId="10" fillId="0" borderId="0" xfId="3" applyNumberFormat="1" applyFont="1" applyAlignment="1">
      <alignment vertical="top"/>
    </xf>
    <xf numFmtId="0" fontId="44" fillId="7" borderId="11" xfId="0" applyFont="1" applyFill="1" applyBorder="1" applyAlignment="1">
      <alignment vertical="top"/>
    </xf>
    <xf numFmtId="165" fontId="0" fillId="7" borderId="11" xfId="0" applyNumberFormat="1" applyFill="1" applyBorder="1" applyAlignment="1">
      <alignment vertical="top"/>
    </xf>
    <xf numFmtId="165" fontId="3" fillId="7" borderId="10" xfId="0" applyNumberFormat="1" applyFont="1" applyFill="1" applyBorder="1" applyAlignment="1">
      <alignment vertical="top"/>
    </xf>
    <xf numFmtId="165" fontId="2" fillId="7" borderId="11" xfId="1" applyNumberFormat="1" applyFont="1" applyFill="1" applyBorder="1"/>
    <xf numFmtId="0" fontId="6" fillId="7" borderId="28" xfId="0" applyFont="1" applyFill="1" applyBorder="1"/>
    <xf numFmtId="0" fontId="19" fillId="0" borderId="0" xfId="0" applyFont="1" applyAlignment="1">
      <alignment horizontal="left" vertical="top"/>
    </xf>
    <xf numFmtId="0" fontId="5" fillId="0" borderId="3" xfId="2" applyBorder="1" applyAlignment="1" applyProtection="1">
      <alignment vertical="top" wrapText="1"/>
    </xf>
    <xf numFmtId="0" fontId="0" fillId="0" borderId="13" xfId="0" applyBorder="1" applyAlignment="1">
      <alignment vertical="top"/>
    </xf>
    <xf numFmtId="2" fontId="0" fillId="0" borderId="13" xfId="0" applyNumberFormat="1" applyBorder="1" applyAlignment="1">
      <alignment vertical="top"/>
    </xf>
    <xf numFmtId="2" fontId="0" fillId="0" borderId="13" xfId="0" applyNumberFormat="1" applyBorder="1" applyAlignment="1">
      <alignment vertical="top" wrapText="1"/>
    </xf>
    <xf numFmtId="169" fontId="0" fillId="0" borderId="13" xfId="3" applyNumberFormat="1" applyFont="1" applyBorder="1" applyAlignment="1">
      <alignment vertical="top" wrapText="1"/>
    </xf>
    <xf numFmtId="164" fontId="0" fillId="0" borderId="13" xfId="1" applyFont="1" applyBorder="1" applyAlignment="1">
      <alignment vertical="top" wrapText="1"/>
    </xf>
    <xf numFmtId="14" fontId="19" fillId="0" borderId="0" xfId="0" applyNumberFormat="1" applyFont="1" applyAlignment="1">
      <alignment vertical="top"/>
    </xf>
    <xf numFmtId="14" fontId="19" fillId="0" borderId="0" xfId="0" applyNumberFormat="1" applyFont="1" applyAlignment="1">
      <alignment horizontal="left" vertical="top"/>
    </xf>
    <xf numFmtId="0" fontId="48" fillId="0" borderId="0" xfId="9" applyFont="1"/>
    <xf numFmtId="0" fontId="48" fillId="9" borderId="0" xfId="9" applyFont="1" applyFill="1"/>
    <xf numFmtId="165" fontId="4" fillId="7" borderId="11" xfId="0" applyNumberFormat="1" applyFont="1" applyFill="1" applyBorder="1" applyAlignment="1">
      <alignment vertical="top"/>
    </xf>
    <xf numFmtId="165" fontId="4" fillId="7" borderId="10" xfId="0" applyNumberFormat="1" applyFont="1" applyFill="1" applyBorder="1" applyAlignment="1">
      <alignment vertical="top"/>
    </xf>
    <xf numFmtId="0" fontId="0" fillId="7" borderId="28" xfId="0" applyFill="1" applyBorder="1" applyAlignment="1">
      <alignment vertical="top"/>
    </xf>
    <xf numFmtId="0" fontId="0" fillId="7" borderId="35" xfId="0" applyFill="1" applyBorder="1" applyAlignment="1">
      <alignment vertical="top"/>
    </xf>
    <xf numFmtId="0" fontId="0" fillId="7" borderId="0" xfId="0" applyFill="1" applyAlignment="1">
      <alignment vertical="top"/>
    </xf>
    <xf numFmtId="0" fontId="6" fillId="7" borderId="17" xfId="0" applyFont="1" applyFill="1" applyBorder="1" applyAlignment="1">
      <alignment vertical="top"/>
    </xf>
    <xf numFmtId="0" fontId="0" fillId="7" borderId="16" xfId="0" applyFill="1" applyBorder="1" applyAlignment="1">
      <alignment vertical="top"/>
    </xf>
    <xf numFmtId="0" fontId="6" fillId="7" borderId="56" xfId="0" applyFont="1" applyFill="1" applyBorder="1" applyAlignment="1">
      <alignment vertical="top"/>
    </xf>
    <xf numFmtId="0" fontId="0" fillId="7" borderId="57" xfId="0" applyFill="1" applyBorder="1" applyAlignment="1">
      <alignment vertical="top"/>
    </xf>
    <xf numFmtId="0" fontId="0" fillId="7" borderId="58" xfId="0" applyFill="1" applyBorder="1" applyAlignment="1">
      <alignment vertical="top"/>
    </xf>
    <xf numFmtId="4" fontId="0" fillId="7" borderId="11" xfId="0" applyNumberFormat="1" applyFill="1" applyBorder="1" applyAlignment="1">
      <alignment vertical="top"/>
    </xf>
    <xf numFmtId="0" fontId="0" fillId="7" borderId="59" xfId="0" applyFill="1" applyBorder="1" applyAlignment="1">
      <alignment vertical="top"/>
    </xf>
    <xf numFmtId="0" fontId="6" fillId="7" borderId="60" xfId="0" applyFont="1" applyFill="1" applyBorder="1" applyAlignment="1">
      <alignment vertical="top"/>
    </xf>
    <xf numFmtId="0" fontId="6" fillId="7" borderId="61" xfId="0" applyFont="1" applyFill="1" applyBorder="1" applyAlignment="1">
      <alignment vertical="top"/>
    </xf>
    <xf numFmtId="2" fontId="0" fillId="7" borderId="62" xfId="0" applyNumberFormat="1" applyFill="1" applyBorder="1" applyAlignment="1">
      <alignment vertical="top" wrapText="1"/>
    </xf>
    <xf numFmtId="2" fontId="0" fillId="7" borderId="63" xfId="0" applyNumberFormat="1" applyFill="1" applyBorder="1" applyAlignment="1">
      <alignment vertical="top" wrapText="1"/>
    </xf>
    <xf numFmtId="164" fontId="4" fillId="0" borderId="13" xfId="1" applyFont="1" applyFill="1" applyBorder="1" applyAlignment="1">
      <alignment vertical="top"/>
    </xf>
    <xf numFmtId="2" fontId="0" fillId="0" borderId="4" xfId="0" applyNumberFormat="1" applyBorder="1" applyAlignment="1">
      <alignment vertical="top" wrapText="1"/>
    </xf>
    <xf numFmtId="0" fontId="17" fillId="2" borderId="8" xfId="0" applyFont="1" applyFill="1" applyBorder="1" applyAlignment="1">
      <alignment vertical="top"/>
    </xf>
    <xf numFmtId="0" fontId="17" fillId="2" borderId="17" xfId="0" applyFont="1" applyFill="1" applyBorder="1" applyAlignment="1">
      <alignment vertical="top"/>
    </xf>
    <xf numFmtId="0" fontId="5" fillId="0" borderId="7" xfId="2" applyBorder="1" applyAlignment="1" applyProtection="1">
      <alignment vertical="top" wrapText="1"/>
    </xf>
    <xf numFmtId="2" fontId="0" fillId="0" borderId="7" xfId="0" applyNumberFormat="1" applyBorder="1" applyAlignment="1">
      <alignment vertical="top"/>
    </xf>
    <xf numFmtId="2" fontId="0" fillId="0" borderId="7" xfId="0" applyNumberFormat="1" applyBorder="1" applyAlignment="1">
      <alignment vertical="top" wrapText="1"/>
    </xf>
    <xf numFmtId="0" fontId="0" fillId="0" borderId="55" xfId="0" applyBorder="1" applyAlignment="1">
      <alignment vertical="top"/>
    </xf>
    <xf numFmtId="2" fontId="0" fillId="0" borderId="55" xfId="0" applyNumberFormat="1" applyBorder="1" applyAlignment="1">
      <alignment vertical="top"/>
    </xf>
    <xf numFmtId="2" fontId="22" fillId="6" borderId="47" xfId="0" applyNumberFormat="1" applyFont="1" applyFill="1" applyBorder="1" applyAlignment="1">
      <alignment vertical="top"/>
    </xf>
    <xf numFmtId="2" fontId="24" fillId="0" borderId="55" xfId="0" applyNumberFormat="1" applyFont="1" applyBorder="1" applyAlignment="1">
      <alignment vertical="top"/>
    </xf>
    <xf numFmtId="0" fontId="0" fillId="0" borderId="0" xfId="0" applyAlignment="1">
      <alignment horizontal="left" vertical="top" wrapText="1"/>
    </xf>
    <xf numFmtId="0" fontId="17" fillId="2" borderId="3"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4" xfId="0" applyFont="1" applyFill="1"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8" fillId="4" borderId="0" xfId="0" applyFont="1" applyFill="1" applyAlignment="1">
      <alignment horizontal="center" vertical="top" wrapText="1"/>
    </xf>
    <xf numFmtId="0" fontId="8" fillId="4" borderId="16" xfId="0" applyFont="1" applyFill="1" applyBorder="1" applyAlignment="1">
      <alignment horizontal="center" vertical="top" wrapText="1"/>
    </xf>
    <xf numFmtId="3" fontId="2" fillId="0" borderId="1" xfId="0" applyNumberFormat="1" applyFont="1" applyBorder="1" applyAlignment="1">
      <alignment horizontal="center" vertical="top"/>
    </xf>
    <xf numFmtId="0" fontId="28" fillId="0" borderId="3" xfId="2" applyFont="1" applyBorder="1" applyAlignment="1" applyProtection="1">
      <alignment horizontal="left" vertical="top" wrapText="1"/>
    </xf>
    <xf numFmtId="0" fontId="28" fillId="0" borderId="4" xfId="2" applyFont="1" applyBorder="1" applyAlignment="1" applyProtection="1">
      <alignment horizontal="left" vertical="top" wrapText="1"/>
    </xf>
    <xf numFmtId="3" fontId="2" fillId="0" borderId="2" xfId="0" applyNumberFormat="1" applyFont="1" applyBorder="1" applyAlignment="1">
      <alignment horizontal="center" vertical="top"/>
    </xf>
    <xf numFmtId="3" fontId="2" fillId="0" borderId="6" xfId="0" applyNumberFormat="1" applyFont="1" applyBorder="1" applyAlignment="1">
      <alignment horizontal="center" vertical="top"/>
    </xf>
    <xf numFmtId="3" fontId="2" fillId="0" borderId="7" xfId="0" applyNumberFormat="1" applyFont="1" applyBorder="1" applyAlignment="1">
      <alignment horizontal="center" vertical="top"/>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4" fillId="0" borderId="1" xfId="0" applyFont="1" applyBorder="1" applyAlignment="1">
      <alignment horizontal="left" vertical="top"/>
    </xf>
    <xf numFmtId="0" fontId="19" fillId="0" borderId="0" xfId="0" applyFont="1" applyAlignment="1">
      <alignment horizontal="left" vertical="top"/>
    </xf>
    <xf numFmtId="0" fontId="22" fillId="0" borderId="0" xfId="0" applyFont="1" applyAlignment="1">
      <alignment horizontal="center" vertical="top"/>
    </xf>
    <xf numFmtId="0" fontId="24" fillId="0" borderId="55" xfId="0" applyFont="1" applyBorder="1" applyAlignment="1">
      <alignment horizontal="left" vertical="top"/>
    </xf>
    <xf numFmtId="0" fontId="24" fillId="0" borderId="2" xfId="0" applyFont="1" applyBorder="1" applyAlignment="1">
      <alignment horizontal="left" vertical="top"/>
    </xf>
    <xf numFmtId="0" fontId="9" fillId="0" borderId="16" xfId="0" applyFont="1" applyBorder="1" applyAlignment="1">
      <alignment horizontal="center" vertical="center"/>
    </xf>
    <xf numFmtId="0" fontId="33" fillId="0" borderId="1" xfId="4" applyFont="1" applyBorder="1" applyAlignment="1">
      <alignment horizontal="center" wrapText="1"/>
    </xf>
    <xf numFmtId="0" fontId="33" fillId="0" borderId="14" xfId="4" applyFont="1" applyBorder="1" applyAlignment="1">
      <alignment horizontal="center"/>
    </xf>
    <xf numFmtId="0" fontId="33" fillId="0" borderId="23" xfId="4" applyFont="1" applyBorder="1" applyAlignment="1">
      <alignment horizontal="center"/>
    </xf>
    <xf numFmtId="0" fontId="38" fillId="0" borderId="18" xfId="4" applyFont="1" applyBorder="1" applyAlignment="1">
      <alignment horizontal="center"/>
    </xf>
    <xf numFmtId="0" fontId="38" fillId="0" borderId="19" xfId="4" applyFont="1" applyBorder="1" applyAlignment="1">
      <alignment horizontal="center"/>
    </xf>
    <xf numFmtId="0" fontId="38" fillId="0" borderId="20" xfId="4" applyFont="1" applyBorder="1" applyAlignment="1">
      <alignment horizontal="center"/>
    </xf>
    <xf numFmtId="0" fontId="33" fillId="0" borderId="26" xfId="4" applyFont="1" applyBorder="1" applyAlignment="1">
      <alignment horizontal="center" vertical="center"/>
    </xf>
    <xf numFmtId="0" fontId="33" fillId="0" borderId="28" xfId="4" applyFont="1" applyBorder="1" applyAlignment="1">
      <alignment horizontal="center" vertical="center"/>
    </xf>
    <xf numFmtId="0" fontId="33" fillId="0" borderId="27" xfId="4" applyFont="1" applyBorder="1" applyAlignment="1">
      <alignment horizontal="center" vertical="center"/>
    </xf>
    <xf numFmtId="0" fontId="33" fillId="0" borderId="29" xfId="4" applyFont="1" applyBorder="1" applyAlignment="1">
      <alignment horizontal="center" vertical="center"/>
    </xf>
    <xf numFmtId="0" fontId="33" fillId="0" borderId="21" xfId="4" applyFont="1" applyBorder="1" applyAlignment="1">
      <alignment horizontal="center" vertical="center"/>
    </xf>
    <xf numFmtId="0" fontId="33" fillId="0" borderId="22" xfId="4" applyFont="1" applyBorder="1" applyAlignment="1">
      <alignment horizontal="center" vertical="center"/>
    </xf>
    <xf numFmtId="0" fontId="33" fillId="0" borderId="14" xfId="4" applyFont="1" applyBorder="1" applyAlignment="1">
      <alignment horizontal="center" wrapText="1"/>
    </xf>
    <xf numFmtId="0" fontId="32" fillId="0" borderId="3" xfId="4" applyFont="1" applyBorder="1" applyAlignment="1">
      <alignment horizontal="center"/>
    </xf>
    <xf numFmtId="0" fontId="32" fillId="0" borderId="13" xfId="4" applyFont="1" applyBorder="1" applyAlignment="1">
      <alignment horizontal="center"/>
    </xf>
    <xf numFmtId="0" fontId="32" fillId="0" borderId="4" xfId="4" applyFont="1" applyBorder="1" applyAlignment="1">
      <alignment horizontal="center"/>
    </xf>
    <xf numFmtId="0" fontId="37" fillId="0" borderId="1" xfId="4" applyFont="1" applyBorder="1" applyAlignment="1">
      <alignment horizontal="left" vertical="top" wrapText="1"/>
    </xf>
    <xf numFmtId="0" fontId="37" fillId="0" borderId="8" xfId="4" applyFont="1" applyBorder="1" applyAlignment="1">
      <alignment horizontal="left" vertical="top" wrapText="1"/>
    </xf>
    <xf numFmtId="0" fontId="37" fillId="0" borderId="17" xfId="4" applyFont="1" applyBorder="1" applyAlignment="1">
      <alignment horizontal="left" vertical="top" wrapText="1"/>
    </xf>
    <xf numFmtId="0" fontId="37" fillId="0" borderId="9" xfId="4" applyFont="1" applyBorder="1" applyAlignment="1">
      <alignment horizontal="left" vertical="top" wrapText="1"/>
    </xf>
    <xf numFmtId="0" fontId="37" fillId="0" borderId="11" xfId="4" applyFont="1" applyBorder="1" applyAlignment="1">
      <alignment horizontal="left" vertical="top" wrapText="1"/>
    </xf>
    <xf numFmtId="0" fontId="37" fillId="0" borderId="0" xfId="4" applyFont="1" applyAlignment="1">
      <alignment horizontal="left" vertical="top" wrapText="1"/>
    </xf>
    <xf numFmtId="0" fontId="37" fillId="0" borderId="12" xfId="4" applyFont="1" applyBorder="1" applyAlignment="1">
      <alignment horizontal="left" vertical="top" wrapText="1"/>
    </xf>
    <xf numFmtId="0" fontId="37" fillId="0" borderId="10" xfId="4" applyFont="1" applyBorder="1" applyAlignment="1">
      <alignment horizontal="left" vertical="top" wrapText="1"/>
    </xf>
    <xf numFmtId="0" fontId="37" fillId="0" borderId="16" xfId="4" applyFont="1" applyBorder="1" applyAlignment="1">
      <alignment horizontal="left" vertical="top" wrapText="1"/>
    </xf>
    <xf numFmtId="0" fontId="37" fillId="0" borderId="5" xfId="4" applyFont="1" applyBorder="1" applyAlignment="1">
      <alignment horizontal="left" vertical="top" wrapText="1"/>
    </xf>
  </cellXfs>
  <cellStyles count="10">
    <cellStyle name="Euro" xfId="8" xr:uid="{00000000-0005-0000-0000-000000000000}"/>
    <cellStyle name="Hyperlink" xfId="2" builtinId="8"/>
    <cellStyle name="Komma" xfId="1" builtinId="3"/>
    <cellStyle name="Komma 2" xfId="6" xr:uid="{00000000-0005-0000-0000-000003000000}"/>
    <cellStyle name="Normal 2" xfId="7" xr:uid="{00000000-0005-0000-0000-000004000000}"/>
    <cellStyle name="Procent" xfId="3" builtinId="5"/>
    <cellStyle name="Standaard" xfId="0" builtinId="0"/>
    <cellStyle name="Standaard 2" xfId="4" xr:uid="{00000000-0005-0000-0000-000007000000}"/>
    <cellStyle name="Standaard 3" xfId="5" xr:uid="{00000000-0005-0000-0000-000008000000}"/>
    <cellStyle name="Standaard 3 2" xfId="9" xr:uid="{D5E92D05-8E51-4148-8CE4-4F2B66082D59}"/>
  </cellStyles>
  <dxfs count="204">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1499679555650502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14996795556505021"/>
      </font>
    </dxf>
    <dxf>
      <font>
        <b val="0"/>
        <i/>
        <color theme="0" tint="-0.24994659260841701"/>
      </font>
    </dxf>
    <dxf>
      <font>
        <b val="0"/>
        <i/>
        <color theme="0" tint="-0.24994659260841701"/>
      </font>
    </dxf>
    <dxf>
      <font>
        <b val="0"/>
        <i/>
        <color theme="0" tint="-0.24994659260841701"/>
      </font>
    </dxf>
    <dxf>
      <font>
        <b val="0"/>
        <i/>
        <color theme="0" tint="-0.24994659260841701"/>
      </font>
    </dxf>
    <dxf>
      <font>
        <b val="0"/>
        <i/>
        <color theme="0" tint="-0.24994659260841701"/>
      </font>
      <fill>
        <patternFill>
          <bgColor theme="0"/>
        </patternFill>
      </fill>
    </dxf>
    <dxf>
      <font>
        <color theme="0" tint="-0.24994659260841701"/>
      </font>
      <fill>
        <patternFill>
          <bgColor theme="0"/>
        </patternFill>
      </fill>
    </dxf>
    <dxf>
      <font>
        <b val="0"/>
        <i/>
        <color theme="0" tint="-0.24994659260841701"/>
      </font>
    </dxf>
  </dxfs>
  <tableStyles count="0" defaultTableStyle="TableStyleMedium2" defaultPivotStyle="PivotStyleLight16"/>
  <colors>
    <mruColors>
      <color rgb="FFEE2E24"/>
      <color rgb="FFD8293D"/>
      <color rgb="FF007BE0"/>
      <color rgb="FF00CA86"/>
      <color rgb="FFFFFF00"/>
      <color rgb="FF006631"/>
      <color rgb="FFF4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5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2012</a:t>
            </a:r>
          </a:p>
        </c:rich>
      </c:tx>
      <c:overlay val="0"/>
    </c:title>
    <c:autoTitleDeleted val="0"/>
    <c:plotArea>
      <c:layout/>
      <c:pieChart>
        <c:varyColors val="1"/>
        <c:ser>
          <c:idx val="0"/>
          <c:order val="0"/>
          <c:dLbls>
            <c:dLbl>
              <c:idx val="1"/>
              <c:layout>
                <c:manualLayout>
                  <c:x val="-8.2820598129460354E-2"/>
                  <c:y val="6.679209375953855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EF8-44EA-9AB3-4FD9624EA596}"/>
                </c:ext>
              </c:extLst>
            </c:dLbl>
            <c:dLbl>
              <c:idx val="2"/>
              <c:layout>
                <c:manualLayout>
                  <c:x val="1.8662526339137415E-2"/>
                  <c:y val="-4.788021403087201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F8-44EA-9AB3-4FD9624EA596}"/>
                </c:ext>
              </c:extLst>
            </c:dLbl>
            <c:dLbl>
              <c:idx val="3"/>
              <c:layout>
                <c:manualLayout>
                  <c:x val="4.6377050125713172E-2"/>
                  <c:y val="0.11117741939247788"/>
                </c:manualLayout>
              </c:layout>
              <c:tx>
                <c:rich>
                  <a:bodyPr/>
                  <a:lstStyle/>
                  <a:p>
                    <a:r>
                      <a:rPr lang="en-US"/>
                      <a:t>Aardgas
6%</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DEF8-44EA-9AB3-4FD9624EA596}"/>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2012'!$D$29:$D$32</c:f>
              <c:strCache>
                <c:ptCount val="4"/>
                <c:pt idx="0">
                  <c:v>Wagenpark incl.</c:v>
                </c:pt>
                <c:pt idx="1">
                  <c:v>Brandstoffen materieel</c:v>
                </c:pt>
                <c:pt idx="2">
                  <c:v>Elektriciteit </c:v>
                </c:pt>
                <c:pt idx="3">
                  <c:v>Brandstoffen voor verwarming</c:v>
                </c:pt>
              </c:strCache>
            </c:strRef>
          </c:cat>
          <c:val>
            <c:numRef>
              <c:f>'Footprint 2012'!$G$29:$G$32</c:f>
              <c:numCache>
                <c:formatCode>0.00</c:formatCode>
                <c:ptCount val="4"/>
                <c:pt idx="0">
                  <c:v>328.58790000000005</c:v>
                </c:pt>
                <c:pt idx="1">
                  <c:v>13.535854</c:v>
                </c:pt>
                <c:pt idx="2">
                  <c:v>20.774896000000002</c:v>
                </c:pt>
                <c:pt idx="3">
                  <c:v>22.206707999999999</c:v>
                </c:pt>
              </c:numCache>
            </c:numRef>
          </c:val>
          <c:extLst>
            <c:ext xmlns:c16="http://schemas.microsoft.com/office/drawing/2014/chart" uri="{C3380CC4-5D6E-409C-BE32-E72D297353CC}">
              <c16:uniqueId val="{00000003-DEF8-44EA-9AB3-4FD9624EA596}"/>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2016-H1</a:t>
            </a:r>
            <a:endParaRPr lang="nl-NL"/>
          </a:p>
        </c:rich>
      </c:tx>
      <c:overlay val="0"/>
    </c:title>
    <c:autoTitleDeleted val="0"/>
    <c:plotArea>
      <c:layout/>
      <c:pieChart>
        <c:varyColors val="1"/>
        <c:ser>
          <c:idx val="0"/>
          <c:order val="0"/>
          <c:dLbls>
            <c:dLbl>
              <c:idx val="1"/>
              <c:layout>
                <c:manualLayout>
                  <c:x val="-9.3788877541546745E-2"/>
                  <c:y val="4.24906265431634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8E-4A51-8BF4-48FC4653F459}"/>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2014-H1'!$F$23:$F$24</c:f>
              <c:strCache>
                <c:ptCount val="2"/>
                <c:pt idx="0">
                  <c:v>Scope 1</c:v>
                </c:pt>
                <c:pt idx="1">
                  <c:v>Scope 2</c:v>
                </c:pt>
              </c:strCache>
            </c:strRef>
          </c:cat>
          <c:val>
            <c:numRef>
              <c:f>'Footprint 2014-H1'!$G$23:$G$24</c:f>
              <c:numCache>
                <c:formatCode>0.00</c:formatCode>
                <c:ptCount val="2"/>
                <c:pt idx="0">
                  <c:v>168.90520700000002</c:v>
                </c:pt>
                <c:pt idx="1">
                  <c:v>0</c:v>
                </c:pt>
              </c:numCache>
            </c:numRef>
          </c:val>
          <c:extLst>
            <c:ext xmlns:c16="http://schemas.microsoft.com/office/drawing/2014/chart" uri="{C3380CC4-5D6E-409C-BE32-E72D297353CC}">
              <c16:uniqueId val="{00000001-E68E-4A51-8BF4-48FC4653F459}"/>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2014'!$A$9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2014'!$G$11:$G$19</c:f>
              <c:numCache>
                <c:formatCode>General</c:formatCode>
                <c:ptCount val="9"/>
                <c:pt idx="0" formatCode="0.00">
                  <c:v>339.02402999999998</c:v>
                </c:pt>
                <c:pt idx="2" formatCode="0.00">
                  <c:v>1.1757060000000001</c:v>
                </c:pt>
                <c:pt idx="3" formatCode="0.00">
                  <c:v>0.79695000000000005</c:v>
                </c:pt>
                <c:pt idx="4" formatCode="0.00">
                  <c:v>14.12744</c:v>
                </c:pt>
                <c:pt idx="6" formatCode="0.00">
                  <c:v>0</c:v>
                </c:pt>
                <c:pt idx="8" formatCode="0.00">
                  <c:v>25.597908</c:v>
                </c:pt>
              </c:numCache>
            </c:numRef>
          </c:val>
          <c:extLst>
            <c:ext xmlns:c16="http://schemas.microsoft.com/office/drawing/2014/chart" uri="{C3380CC4-5D6E-409C-BE32-E72D297353CC}">
              <c16:uniqueId val="{00000000-7809-4FCA-85A1-BB2C337BA03B}"/>
            </c:ext>
          </c:extLst>
        </c:ser>
        <c:ser>
          <c:idx val="1"/>
          <c:order val="1"/>
          <c:tx>
            <c:strRef>
              <c:f>'Footprint 2014'!$A$13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2014'!#REF!</c:f>
              <c:numCache>
                <c:formatCode>General</c:formatCode>
                <c:ptCount val="1"/>
                <c:pt idx="0">
                  <c:v>1</c:v>
                </c:pt>
              </c:numCache>
            </c:numRef>
          </c:val>
          <c:extLst>
            <c:ext xmlns:c16="http://schemas.microsoft.com/office/drawing/2014/chart" uri="{C3380CC4-5D6E-409C-BE32-E72D297353CC}">
              <c16:uniqueId val="{00000001-7809-4FCA-85A1-BB2C337BA03B}"/>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2014'!$A$17</c:f>
              <c:numCache>
                <c:formatCode>General</c:formatCode>
                <c:ptCount val="1"/>
                <c:pt idx="0">
                  <c:v>0</c:v>
                </c:pt>
              </c:numCache>
            </c:numRef>
          </c:val>
          <c:extLst>
            <c:ext xmlns:c16="http://schemas.microsoft.com/office/drawing/2014/chart" uri="{C3380CC4-5D6E-409C-BE32-E72D297353CC}">
              <c16:uniqueId val="{00000002-7809-4FCA-85A1-BB2C337BA03B}"/>
            </c:ext>
          </c:extLst>
        </c:ser>
        <c:ser>
          <c:idx val="3"/>
          <c:order val="3"/>
          <c:tx>
            <c:strRef>
              <c:f>'Footprint 2014'!$A$19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7809-4FCA-85A1-BB2C337BA03B}"/>
            </c:ext>
          </c:extLst>
        </c:ser>
        <c:ser>
          <c:idx val="4"/>
          <c:order val="4"/>
          <c:tx>
            <c:strRef>
              <c:f>'Footprint 2014'!$G$11</c:f>
              <c:strCache>
                <c:ptCount val="1"/>
                <c:pt idx="0">
                  <c:v>339,02</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2014'!#REF!</c:f>
              <c:numCache>
                <c:formatCode>General</c:formatCode>
                <c:ptCount val="1"/>
                <c:pt idx="0">
                  <c:v>1</c:v>
                </c:pt>
              </c:numCache>
            </c:numRef>
          </c:val>
          <c:extLst>
            <c:ext xmlns:c16="http://schemas.microsoft.com/office/drawing/2014/chart" uri="{C3380CC4-5D6E-409C-BE32-E72D297353CC}">
              <c16:uniqueId val="{00000004-7809-4FCA-85A1-BB2C337BA03B}"/>
            </c:ext>
          </c:extLst>
        </c:ser>
        <c:ser>
          <c:idx val="5"/>
          <c:order val="5"/>
          <c:tx>
            <c:strRef>
              <c:f>'Footprint 2014'!$G$13</c:f>
              <c:strCache>
                <c:ptCount val="1"/>
                <c:pt idx="0">
                  <c:v>1,18</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2014'!#REF!</c:f>
              <c:numCache>
                <c:formatCode>General</c:formatCode>
                <c:ptCount val="1"/>
                <c:pt idx="0">
                  <c:v>1</c:v>
                </c:pt>
              </c:numCache>
            </c:numRef>
          </c:val>
          <c:extLst>
            <c:ext xmlns:c16="http://schemas.microsoft.com/office/drawing/2014/chart" uri="{C3380CC4-5D6E-409C-BE32-E72D297353CC}">
              <c16:uniqueId val="{00000005-7809-4FCA-85A1-BB2C337BA03B}"/>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2014'!$G$17</c:f>
              <c:numCache>
                <c:formatCode>0.00</c:formatCode>
                <c:ptCount val="1"/>
                <c:pt idx="0">
                  <c:v>0</c:v>
                </c:pt>
              </c:numCache>
            </c:numRef>
          </c:val>
          <c:extLst>
            <c:ext xmlns:c16="http://schemas.microsoft.com/office/drawing/2014/chart" uri="{C3380CC4-5D6E-409C-BE32-E72D297353CC}">
              <c16:uniqueId val="{00000006-7809-4FCA-85A1-BB2C337BA03B}"/>
            </c:ext>
          </c:extLst>
        </c:ser>
        <c:ser>
          <c:idx val="7"/>
          <c:order val="7"/>
          <c:tx>
            <c:strRef>
              <c:f>'Footprint 2014'!$G$19</c:f>
              <c:strCache>
                <c:ptCount val="1"/>
                <c:pt idx="0">
                  <c:v>25,60</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7809-4FCA-85A1-BB2C337BA03B}"/>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2016-H1</a:t>
            </a:r>
          </a:p>
        </c:rich>
      </c:tx>
      <c:overlay val="0"/>
    </c:title>
    <c:autoTitleDeleted val="0"/>
    <c:plotArea>
      <c:layout/>
      <c:pieChart>
        <c:varyColors val="1"/>
        <c:ser>
          <c:idx val="0"/>
          <c:order val="0"/>
          <c:dLbls>
            <c:dLbl>
              <c:idx val="1"/>
              <c:layout>
                <c:manualLayout>
                  <c:x val="-8.2820598129460229E-2"/>
                  <c:y val="6.67920937595384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8A-424D-98CA-C16E830D5F84}"/>
                </c:ext>
              </c:extLst>
            </c:dLbl>
            <c:dLbl>
              <c:idx val="2"/>
              <c:layout>
                <c:manualLayout>
                  <c:x val="1.3313839667476192E-2"/>
                  <c:y val="5.412418020591083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8A-424D-98CA-C16E830D5F84}"/>
                </c:ext>
              </c:extLst>
            </c:dLbl>
            <c:dLbl>
              <c:idx val="3"/>
              <c:layout>
                <c:manualLayout>
                  <c:x val="6.5036630642130736E-2"/>
                  <c:y val="7.751534371816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68A-424D-98CA-C16E830D5F84}"/>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2014'!$D$26:$D$29</c:f>
              <c:strCache>
                <c:ptCount val="4"/>
                <c:pt idx="0">
                  <c:v>Wagenpark</c:v>
                </c:pt>
                <c:pt idx="1">
                  <c:v>Brandstoffen materieel</c:v>
                </c:pt>
                <c:pt idx="2">
                  <c:v>Elektriciteit </c:v>
                </c:pt>
                <c:pt idx="3">
                  <c:v>Brandstoffen voor verwarming</c:v>
                </c:pt>
              </c:strCache>
            </c:strRef>
          </c:cat>
          <c:val>
            <c:numRef>
              <c:f>'Footprint 2014'!$G$26:$G$29</c:f>
              <c:numCache>
                <c:formatCode>0.00</c:formatCode>
                <c:ptCount val="4"/>
                <c:pt idx="0">
                  <c:v>339.02402999999998</c:v>
                </c:pt>
                <c:pt idx="1">
                  <c:v>16.100096000000001</c:v>
                </c:pt>
                <c:pt idx="2">
                  <c:v>0</c:v>
                </c:pt>
                <c:pt idx="3">
                  <c:v>25.597908</c:v>
                </c:pt>
              </c:numCache>
            </c:numRef>
          </c:val>
          <c:extLst>
            <c:ext xmlns:c16="http://schemas.microsoft.com/office/drawing/2014/chart" uri="{C3380CC4-5D6E-409C-BE32-E72D297353CC}">
              <c16:uniqueId val="{00000003-E68A-424D-98CA-C16E830D5F84}"/>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2016-H1</a:t>
            </a:r>
            <a:endParaRPr lang="nl-NL"/>
          </a:p>
        </c:rich>
      </c:tx>
      <c:overlay val="0"/>
    </c:title>
    <c:autoTitleDeleted val="0"/>
    <c:plotArea>
      <c:layout/>
      <c:pieChart>
        <c:varyColors val="1"/>
        <c:ser>
          <c:idx val="0"/>
          <c:order val="0"/>
          <c:dLbls>
            <c:dLbl>
              <c:idx val="1"/>
              <c:layout>
                <c:manualLayout>
                  <c:x val="-9.3788877541546745E-2"/>
                  <c:y val="4.24906265431634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59B-441B-AD16-450BA1B13D62}"/>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2014'!$F$23:$F$24</c:f>
              <c:strCache>
                <c:ptCount val="2"/>
                <c:pt idx="0">
                  <c:v>Scope 1</c:v>
                </c:pt>
                <c:pt idx="1">
                  <c:v>Scope 2</c:v>
                </c:pt>
              </c:strCache>
            </c:strRef>
          </c:cat>
          <c:val>
            <c:numRef>
              <c:f>'Footprint 2014'!$G$23:$G$24</c:f>
              <c:numCache>
                <c:formatCode>0.00</c:formatCode>
                <c:ptCount val="2"/>
                <c:pt idx="0">
                  <c:v>380.72203399999995</c:v>
                </c:pt>
                <c:pt idx="1">
                  <c:v>0</c:v>
                </c:pt>
              </c:numCache>
            </c:numRef>
          </c:val>
          <c:extLst>
            <c:ext xmlns:c16="http://schemas.microsoft.com/office/drawing/2014/chart" uri="{C3380CC4-5D6E-409C-BE32-E72D297353CC}">
              <c16:uniqueId val="{00000001-359B-441B-AD16-450BA1B13D6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2015-H1'!$A$9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2015-H1'!$G$11:$G$19</c:f>
              <c:numCache>
                <c:formatCode>General</c:formatCode>
                <c:ptCount val="9"/>
                <c:pt idx="0" formatCode="0.00">
                  <c:v>169.86893000000001</c:v>
                </c:pt>
                <c:pt idx="2" formatCode="0.00">
                  <c:v>0.49303800000000003</c:v>
                </c:pt>
                <c:pt idx="3" formatCode="0.00">
                  <c:v>1.2316500000000001</c:v>
                </c:pt>
                <c:pt idx="4" formatCode="0.00">
                  <c:v>7.2938800000000006</c:v>
                </c:pt>
                <c:pt idx="6" formatCode="0.00">
                  <c:v>0</c:v>
                </c:pt>
                <c:pt idx="8" formatCode="0.00">
                  <c:v>18.622803000000001</c:v>
                </c:pt>
              </c:numCache>
            </c:numRef>
          </c:val>
          <c:extLst>
            <c:ext xmlns:c16="http://schemas.microsoft.com/office/drawing/2014/chart" uri="{C3380CC4-5D6E-409C-BE32-E72D297353CC}">
              <c16:uniqueId val="{00000000-355E-48E3-A68E-465FA08617E6}"/>
            </c:ext>
          </c:extLst>
        </c:ser>
        <c:ser>
          <c:idx val="1"/>
          <c:order val="1"/>
          <c:tx>
            <c:strRef>
              <c:f>'Footprint 2015-H1'!$A$13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2015-H1'!#REF!</c:f>
              <c:numCache>
                <c:formatCode>General</c:formatCode>
                <c:ptCount val="1"/>
                <c:pt idx="0">
                  <c:v>1</c:v>
                </c:pt>
              </c:numCache>
            </c:numRef>
          </c:val>
          <c:extLst>
            <c:ext xmlns:c16="http://schemas.microsoft.com/office/drawing/2014/chart" uri="{C3380CC4-5D6E-409C-BE32-E72D297353CC}">
              <c16:uniqueId val="{00000001-355E-48E3-A68E-465FA08617E6}"/>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2015-H1'!$A$17</c:f>
              <c:numCache>
                <c:formatCode>General</c:formatCode>
                <c:ptCount val="1"/>
                <c:pt idx="0">
                  <c:v>0</c:v>
                </c:pt>
              </c:numCache>
            </c:numRef>
          </c:val>
          <c:extLst>
            <c:ext xmlns:c16="http://schemas.microsoft.com/office/drawing/2014/chart" uri="{C3380CC4-5D6E-409C-BE32-E72D297353CC}">
              <c16:uniqueId val="{00000002-355E-48E3-A68E-465FA08617E6}"/>
            </c:ext>
          </c:extLst>
        </c:ser>
        <c:ser>
          <c:idx val="3"/>
          <c:order val="3"/>
          <c:tx>
            <c:strRef>
              <c:f>'Footprint 2015-H1'!$A$19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355E-48E3-A68E-465FA08617E6}"/>
            </c:ext>
          </c:extLst>
        </c:ser>
        <c:ser>
          <c:idx val="4"/>
          <c:order val="4"/>
          <c:tx>
            <c:strRef>
              <c:f>'Footprint 2015-H1'!$G$11</c:f>
              <c:strCache>
                <c:ptCount val="1"/>
                <c:pt idx="0">
                  <c:v>169,87</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2015-H1'!#REF!</c:f>
            </c:numRef>
          </c:val>
          <c:extLst>
            <c:ext xmlns:c16="http://schemas.microsoft.com/office/drawing/2014/chart" uri="{C3380CC4-5D6E-409C-BE32-E72D297353CC}">
              <c16:uniqueId val="{00000004-355E-48E3-A68E-465FA08617E6}"/>
            </c:ext>
          </c:extLst>
        </c:ser>
        <c:ser>
          <c:idx val="5"/>
          <c:order val="5"/>
          <c:tx>
            <c:strRef>
              <c:f>'Footprint 2015-H1'!$G$13</c:f>
              <c:strCache>
                <c:ptCount val="1"/>
                <c:pt idx="0">
                  <c:v>0,49</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2015-H1'!#REF!</c:f>
              <c:numCache>
                <c:formatCode>General</c:formatCode>
                <c:ptCount val="1"/>
                <c:pt idx="0">
                  <c:v>1</c:v>
                </c:pt>
              </c:numCache>
            </c:numRef>
          </c:val>
          <c:extLst>
            <c:ext xmlns:c16="http://schemas.microsoft.com/office/drawing/2014/chart" uri="{C3380CC4-5D6E-409C-BE32-E72D297353CC}">
              <c16:uniqueId val="{00000005-355E-48E3-A68E-465FA08617E6}"/>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2015-H1'!$G$17</c:f>
              <c:numCache>
                <c:formatCode>0.00</c:formatCode>
                <c:ptCount val="1"/>
                <c:pt idx="0">
                  <c:v>0</c:v>
                </c:pt>
              </c:numCache>
            </c:numRef>
          </c:val>
          <c:extLst>
            <c:ext xmlns:c16="http://schemas.microsoft.com/office/drawing/2014/chart" uri="{C3380CC4-5D6E-409C-BE32-E72D297353CC}">
              <c16:uniqueId val="{00000006-355E-48E3-A68E-465FA08617E6}"/>
            </c:ext>
          </c:extLst>
        </c:ser>
        <c:ser>
          <c:idx val="7"/>
          <c:order val="7"/>
          <c:tx>
            <c:strRef>
              <c:f>'Footprint 2015-H1'!$G$19</c:f>
              <c:strCache>
                <c:ptCount val="1"/>
                <c:pt idx="0">
                  <c:v>18,62</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355E-48E3-A68E-465FA08617E6}"/>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2015-H1</a:t>
            </a:r>
          </a:p>
        </c:rich>
      </c:tx>
      <c:overlay val="0"/>
    </c:title>
    <c:autoTitleDeleted val="0"/>
    <c:plotArea>
      <c:layout/>
      <c:pieChart>
        <c:varyColors val="1"/>
        <c:ser>
          <c:idx val="0"/>
          <c:order val="0"/>
          <c:dLbls>
            <c:dLbl>
              <c:idx val="1"/>
              <c:layout>
                <c:manualLayout>
                  <c:x val="-8.2820598129460229E-2"/>
                  <c:y val="6.67920937595384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B84-43A7-A9C0-6A372FA1F749}"/>
                </c:ext>
              </c:extLst>
            </c:dLbl>
            <c:dLbl>
              <c:idx val="2"/>
              <c:layout>
                <c:manualLayout>
                  <c:x val="1.8662526339137387E-2"/>
                  <c:y val="-4.788021403087193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84-43A7-A9C0-6A372FA1F749}"/>
                </c:ext>
              </c:extLst>
            </c:dLbl>
            <c:dLbl>
              <c:idx val="3"/>
              <c:layout>
                <c:manualLayout>
                  <c:x val="0.1666603083065322"/>
                  <c:y val="6.53745901383928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B84-43A7-A9C0-6A372FA1F749}"/>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2015-H1'!$D$26:$D$29</c:f>
              <c:strCache>
                <c:ptCount val="4"/>
                <c:pt idx="0">
                  <c:v>Wagenpark</c:v>
                </c:pt>
                <c:pt idx="1">
                  <c:v>Brandstoffen materieel</c:v>
                </c:pt>
                <c:pt idx="2">
                  <c:v>Elektriciteit </c:v>
                </c:pt>
                <c:pt idx="3">
                  <c:v>Brandstoffen voor verwarming</c:v>
                </c:pt>
              </c:strCache>
            </c:strRef>
          </c:cat>
          <c:val>
            <c:numRef>
              <c:f>'Footprint 2015-H1'!$G$26:$G$29</c:f>
              <c:numCache>
                <c:formatCode>0.00</c:formatCode>
                <c:ptCount val="4"/>
                <c:pt idx="0">
                  <c:v>169.86893000000001</c:v>
                </c:pt>
                <c:pt idx="1">
                  <c:v>9.0185680000000001</c:v>
                </c:pt>
                <c:pt idx="2">
                  <c:v>0</c:v>
                </c:pt>
                <c:pt idx="3">
                  <c:v>18.622803000000001</c:v>
                </c:pt>
              </c:numCache>
            </c:numRef>
          </c:val>
          <c:extLst>
            <c:ext xmlns:c16="http://schemas.microsoft.com/office/drawing/2014/chart" uri="{C3380CC4-5D6E-409C-BE32-E72D297353CC}">
              <c16:uniqueId val="{00000003-EB84-43A7-A9C0-6A372FA1F749}"/>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2015-H1</a:t>
            </a:r>
            <a:endParaRPr lang="nl-NL"/>
          </a:p>
        </c:rich>
      </c:tx>
      <c:overlay val="0"/>
    </c:title>
    <c:autoTitleDeleted val="0"/>
    <c:plotArea>
      <c:layout/>
      <c:pieChart>
        <c:varyColors val="1"/>
        <c:ser>
          <c:idx val="0"/>
          <c:order val="0"/>
          <c:dLbls>
            <c:dLbl>
              <c:idx val="1"/>
              <c:layout>
                <c:manualLayout>
                  <c:x val="-9.3788877541546745E-2"/>
                  <c:y val="4.24906265431634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997-4D9A-97B3-3E2CF044312A}"/>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2015-H1'!$F$23:$F$24</c:f>
              <c:strCache>
                <c:ptCount val="2"/>
                <c:pt idx="0">
                  <c:v>Scope 1</c:v>
                </c:pt>
                <c:pt idx="1">
                  <c:v>Scope 2</c:v>
                </c:pt>
              </c:strCache>
            </c:strRef>
          </c:cat>
          <c:val>
            <c:numRef>
              <c:f>'Footprint 2015-H1'!$G$23:$G$24</c:f>
              <c:numCache>
                <c:formatCode>0.00</c:formatCode>
                <c:ptCount val="2"/>
                <c:pt idx="0">
                  <c:v>197.51030100000003</c:v>
                </c:pt>
                <c:pt idx="1">
                  <c:v>0</c:v>
                </c:pt>
              </c:numCache>
            </c:numRef>
          </c:val>
          <c:extLst>
            <c:ext xmlns:c16="http://schemas.microsoft.com/office/drawing/2014/chart" uri="{C3380CC4-5D6E-409C-BE32-E72D297353CC}">
              <c16:uniqueId val="{00000001-0997-4D9A-97B3-3E2CF044312A}"/>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2015'!$A$9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2015'!$G$11:$G$19</c:f>
              <c:numCache>
                <c:formatCode>General</c:formatCode>
                <c:ptCount val="9"/>
                <c:pt idx="0" formatCode="0.00">
                  <c:v>372.83985432000026</c:v>
                </c:pt>
                <c:pt idx="2" formatCode="0.00">
                  <c:v>0.94395000000000007</c:v>
                </c:pt>
                <c:pt idx="3" formatCode="0.00">
                  <c:v>2.1372750000000003</c:v>
                </c:pt>
                <c:pt idx="4" formatCode="0.00">
                  <c:v>16.087644159999996</c:v>
                </c:pt>
                <c:pt idx="6" formatCode="0.00">
                  <c:v>0</c:v>
                </c:pt>
                <c:pt idx="8" formatCode="0.00">
                  <c:v>29.256636</c:v>
                </c:pt>
              </c:numCache>
            </c:numRef>
          </c:val>
          <c:extLst>
            <c:ext xmlns:c16="http://schemas.microsoft.com/office/drawing/2014/chart" uri="{C3380CC4-5D6E-409C-BE32-E72D297353CC}">
              <c16:uniqueId val="{00000000-F3C5-4A58-ABF3-C313EE5DCC17}"/>
            </c:ext>
          </c:extLst>
        </c:ser>
        <c:ser>
          <c:idx val="1"/>
          <c:order val="1"/>
          <c:tx>
            <c:strRef>
              <c:f>'Footprint 2015'!$A$13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2015'!#REF!</c:f>
              <c:numCache>
                <c:formatCode>General</c:formatCode>
                <c:ptCount val="1"/>
                <c:pt idx="0">
                  <c:v>1</c:v>
                </c:pt>
              </c:numCache>
            </c:numRef>
          </c:val>
          <c:extLst>
            <c:ext xmlns:c16="http://schemas.microsoft.com/office/drawing/2014/chart" uri="{C3380CC4-5D6E-409C-BE32-E72D297353CC}">
              <c16:uniqueId val="{00000001-F3C5-4A58-ABF3-C313EE5DCC17}"/>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2015'!$A$17</c:f>
              <c:numCache>
                <c:formatCode>General</c:formatCode>
                <c:ptCount val="1"/>
                <c:pt idx="0">
                  <c:v>0</c:v>
                </c:pt>
              </c:numCache>
            </c:numRef>
          </c:val>
          <c:extLst>
            <c:ext xmlns:c16="http://schemas.microsoft.com/office/drawing/2014/chart" uri="{C3380CC4-5D6E-409C-BE32-E72D297353CC}">
              <c16:uniqueId val="{00000002-F3C5-4A58-ABF3-C313EE5DCC17}"/>
            </c:ext>
          </c:extLst>
        </c:ser>
        <c:ser>
          <c:idx val="3"/>
          <c:order val="3"/>
          <c:tx>
            <c:strRef>
              <c:f>'Footprint 2015'!$A$19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F3C5-4A58-ABF3-C313EE5DCC17}"/>
            </c:ext>
          </c:extLst>
        </c:ser>
        <c:ser>
          <c:idx val="4"/>
          <c:order val="4"/>
          <c:tx>
            <c:strRef>
              <c:f>'Footprint 2015'!$G$11</c:f>
              <c:strCache>
                <c:ptCount val="1"/>
                <c:pt idx="0">
                  <c:v>372,84</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2015'!#REF!</c:f>
              <c:numCache>
                <c:formatCode>General</c:formatCode>
                <c:ptCount val="1"/>
                <c:pt idx="0">
                  <c:v>1</c:v>
                </c:pt>
              </c:numCache>
            </c:numRef>
          </c:val>
          <c:extLst>
            <c:ext xmlns:c16="http://schemas.microsoft.com/office/drawing/2014/chart" uri="{C3380CC4-5D6E-409C-BE32-E72D297353CC}">
              <c16:uniqueId val="{00000004-F3C5-4A58-ABF3-C313EE5DCC17}"/>
            </c:ext>
          </c:extLst>
        </c:ser>
        <c:ser>
          <c:idx val="5"/>
          <c:order val="5"/>
          <c:tx>
            <c:strRef>
              <c:f>'Footprint 2015'!$G$13</c:f>
              <c:strCache>
                <c:ptCount val="1"/>
                <c:pt idx="0">
                  <c:v>0,94</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2015'!#REF!</c:f>
              <c:numCache>
                <c:formatCode>General</c:formatCode>
                <c:ptCount val="1"/>
                <c:pt idx="0">
                  <c:v>1</c:v>
                </c:pt>
              </c:numCache>
            </c:numRef>
          </c:val>
          <c:extLst>
            <c:ext xmlns:c16="http://schemas.microsoft.com/office/drawing/2014/chart" uri="{C3380CC4-5D6E-409C-BE32-E72D297353CC}">
              <c16:uniqueId val="{00000005-F3C5-4A58-ABF3-C313EE5DCC17}"/>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2015'!$G$17</c:f>
              <c:numCache>
                <c:formatCode>0.00</c:formatCode>
                <c:ptCount val="1"/>
                <c:pt idx="0">
                  <c:v>0</c:v>
                </c:pt>
              </c:numCache>
            </c:numRef>
          </c:val>
          <c:extLst>
            <c:ext xmlns:c16="http://schemas.microsoft.com/office/drawing/2014/chart" uri="{C3380CC4-5D6E-409C-BE32-E72D297353CC}">
              <c16:uniqueId val="{00000006-F3C5-4A58-ABF3-C313EE5DCC17}"/>
            </c:ext>
          </c:extLst>
        </c:ser>
        <c:ser>
          <c:idx val="7"/>
          <c:order val="7"/>
          <c:tx>
            <c:strRef>
              <c:f>'Footprint 2015'!$G$19</c:f>
              <c:strCache>
                <c:ptCount val="1"/>
                <c:pt idx="0">
                  <c:v>29,26</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2015'!$A$11:$A$19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F3C5-4A58-ABF3-C313EE5DCC17}"/>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2015</a:t>
            </a:r>
          </a:p>
        </c:rich>
      </c:tx>
      <c:overlay val="0"/>
    </c:title>
    <c:autoTitleDeleted val="0"/>
    <c:plotArea>
      <c:layout/>
      <c:pieChart>
        <c:varyColors val="1"/>
        <c:ser>
          <c:idx val="0"/>
          <c:order val="0"/>
          <c:dLbls>
            <c:dLbl>
              <c:idx val="2"/>
              <c:layout>
                <c:manualLayout>
                  <c:x val="0.14633399211153891"/>
                  <c:y val="-6.699712089542331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15D-44BA-A642-4A782950CF58}"/>
                </c:ext>
              </c:extLst>
            </c:dLbl>
            <c:dLbl>
              <c:idx val="3"/>
              <c:layout>
                <c:manualLayout>
                  <c:x val="5.5118385987770704E-2"/>
                  <c:y val="0.11208007028602268"/>
                </c:manualLayout>
              </c:layout>
              <c:tx>
                <c:rich>
                  <a:bodyPr/>
                  <a:lstStyle/>
                  <a:p>
                    <a:r>
                      <a:rPr lang="en-US"/>
                      <a:t>Aardgas
7%</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915D-44BA-A642-4A782950CF58}"/>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2015'!$D$26:$D$29</c:f>
              <c:strCache>
                <c:ptCount val="4"/>
                <c:pt idx="0">
                  <c:v>Wagenpark</c:v>
                </c:pt>
                <c:pt idx="1">
                  <c:v>Brandstoffen materieel</c:v>
                </c:pt>
                <c:pt idx="2">
                  <c:v>Elektriciteit </c:v>
                </c:pt>
                <c:pt idx="3">
                  <c:v>Aardgas</c:v>
                </c:pt>
              </c:strCache>
            </c:strRef>
          </c:cat>
          <c:val>
            <c:numRef>
              <c:f>'Footprint 2015'!$G$26:$G$29</c:f>
              <c:numCache>
                <c:formatCode>0.00</c:formatCode>
                <c:ptCount val="4"/>
                <c:pt idx="0">
                  <c:v>372.83985432000026</c:v>
                </c:pt>
                <c:pt idx="1">
                  <c:v>19.168869159999996</c:v>
                </c:pt>
                <c:pt idx="2">
                  <c:v>0</c:v>
                </c:pt>
                <c:pt idx="3">
                  <c:v>29.256636</c:v>
                </c:pt>
              </c:numCache>
            </c:numRef>
          </c:val>
          <c:extLst>
            <c:ext xmlns:c16="http://schemas.microsoft.com/office/drawing/2014/chart" uri="{C3380CC4-5D6E-409C-BE32-E72D297353CC}">
              <c16:uniqueId val="{00000002-915D-44BA-A642-4A782950CF58}"/>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2015</a:t>
            </a:r>
            <a:endParaRPr lang="nl-NL"/>
          </a:p>
        </c:rich>
      </c:tx>
      <c:layout>
        <c:manualLayout>
          <c:xMode val="edge"/>
          <c:yMode val="edge"/>
          <c:x val="0.23498802269679234"/>
          <c:y val="1.8860018987308203E-2"/>
        </c:manualLayout>
      </c:layout>
      <c:overlay val="0"/>
    </c:title>
    <c:autoTitleDeleted val="0"/>
    <c:plotArea>
      <c:layout/>
      <c:pieChart>
        <c:varyColors val="1"/>
        <c:ser>
          <c:idx val="0"/>
          <c:order val="0"/>
          <c:dLbls>
            <c:dLbl>
              <c:idx val="1"/>
              <c:layout>
                <c:manualLayout>
                  <c:x val="-9.3788877541546745E-2"/>
                  <c:y val="4.24906265431634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05-48B4-9DC0-38132A17BE10}"/>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2015'!$F$23:$F$24</c:f>
              <c:strCache>
                <c:ptCount val="2"/>
                <c:pt idx="0">
                  <c:v>Scope 1</c:v>
                </c:pt>
                <c:pt idx="1">
                  <c:v>Scope 2</c:v>
                </c:pt>
              </c:strCache>
            </c:strRef>
          </c:cat>
          <c:val>
            <c:numRef>
              <c:f>'Footprint 2015'!$G$23:$G$24</c:f>
              <c:numCache>
                <c:formatCode>0.00</c:formatCode>
                <c:ptCount val="2"/>
                <c:pt idx="0">
                  <c:v>421.2653594800002</c:v>
                </c:pt>
                <c:pt idx="1">
                  <c:v>0</c:v>
                </c:pt>
              </c:numCache>
            </c:numRef>
          </c:val>
          <c:extLst>
            <c:ext xmlns:c16="http://schemas.microsoft.com/office/drawing/2014/chart" uri="{C3380CC4-5D6E-409C-BE32-E72D297353CC}">
              <c16:uniqueId val="{00000001-E705-48B4-9DC0-38132A17BE10}"/>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2012</a:t>
            </a:r>
          </a:p>
        </c:rich>
      </c:tx>
      <c:overlay val="0"/>
    </c:title>
    <c:autoTitleDeleted val="0"/>
    <c:plotArea>
      <c:layout/>
      <c:pieChart>
        <c:varyColors val="1"/>
        <c:ser>
          <c:idx val="0"/>
          <c:order val="0"/>
          <c:dLbls>
            <c:dLbl>
              <c:idx val="1"/>
              <c:layout>
                <c:manualLayout>
                  <c:x val="-9.3788877541546745E-2"/>
                  <c:y val="4.24906265431635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31C-475E-B946-BAADD8FEE033}"/>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2012'!$F$25:$F$26</c:f>
              <c:strCache>
                <c:ptCount val="2"/>
                <c:pt idx="0">
                  <c:v>Scope 1</c:v>
                </c:pt>
                <c:pt idx="1">
                  <c:v>Scope 2</c:v>
                </c:pt>
              </c:strCache>
            </c:strRef>
          </c:cat>
          <c:val>
            <c:numRef>
              <c:f>'Footprint 2012'!$G$25:$G$26</c:f>
              <c:numCache>
                <c:formatCode>0.00</c:formatCode>
                <c:ptCount val="2"/>
                <c:pt idx="0">
                  <c:v>364.33046200000001</c:v>
                </c:pt>
                <c:pt idx="1">
                  <c:v>20.774896000000002</c:v>
                </c:pt>
              </c:numCache>
            </c:numRef>
          </c:val>
          <c:extLst>
            <c:ext xmlns:c16="http://schemas.microsoft.com/office/drawing/2014/chart" uri="{C3380CC4-5D6E-409C-BE32-E72D297353CC}">
              <c16:uniqueId val="{00000001-A31C-475E-B946-BAADD8FEE033}"/>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2016-H1'!$A$9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2016-H1'!$G$11:$G$19</c:f>
              <c:numCache>
                <c:formatCode>General</c:formatCode>
                <c:ptCount val="9"/>
                <c:pt idx="0" formatCode="0.00">
                  <c:v>181.57583890000004</c:v>
                </c:pt>
                <c:pt idx="2" formatCode="0.00">
                  <c:v>0.98607600000000006</c:v>
                </c:pt>
                <c:pt idx="3" formatCode="0.00">
                  <c:v>0.43470000000000003</c:v>
                </c:pt>
                <c:pt idx="4" formatCode="0.00">
                  <c:v>10.379503600000001</c:v>
                </c:pt>
                <c:pt idx="6" formatCode="0.00">
                  <c:v>0</c:v>
                </c:pt>
                <c:pt idx="8" formatCode="0.00">
                  <c:v>19.809306666666668</c:v>
                </c:pt>
              </c:numCache>
            </c:numRef>
          </c:val>
          <c:extLst>
            <c:ext xmlns:c16="http://schemas.microsoft.com/office/drawing/2014/chart" uri="{C3380CC4-5D6E-409C-BE32-E72D297353CC}">
              <c16:uniqueId val="{00000000-55DA-4E2B-86F0-8BD7CB34E630}"/>
            </c:ext>
          </c:extLst>
        </c:ser>
        <c:ser>
          <c:idx val="1"/>
          <c:order val="1"/>
          <c:tx>
            <c:strRef>
              <c:f>'Footprint 2016-H1'!$A$13:$A$13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55DA-4E2B-86F0-8BD7CB34E630}"/>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2016-H1'!$A$17:$A$17</c:f>
              <c:numCache>
                <c:formatCode>General</c:formatCode>
                <c:ptCount val="1"/>
                <c:pt idx="0">
                  <c:v>0</c:v>
                </c:pt>
              </c:numCache>
            </c:numRef>
          </c:val>
          <c:extLst>
            <c:ext xmlns:c16="http://schemas.microsoft.com/office/drawing/2014/chart" uri="{C3380CC4-5D6E-409C-BE32-E72D297353CC}">
              <c16:uniqueId val="{00000002-55DA-4E2B-86F0-8BD7CB34E630}"/>
            </c:ext>
          </c:extLst>
        </c:ser>
        <c:ser>
          <c:idx val="3"/>
          <c:order val="3"/>
          <c:tx>
            <c:strRef>
              <c:f>'Footprint 2016-H1'!$A$19:$A$19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55DA-4E2B-86F0-8BD7CB34E630}"/>
            </c:ext>
          </c:extLst>
        </c:ser>
        <c:ser>
          <c:idx val="4"/>
          <c:order val="4"/>
          <c:tx>
            <c:strRef>
              <c:f>'Footprint 2016-H1'!$G$11:$G$11</c:f>
              <c:strCache>
                <c:ptCount val="1"/>
                <c:pt idx="0">
                  <c:v>181,58</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55DA-4E2B-86F0-8BD7CB34E630}"/>
            </c:ext>
          </c:extLst>
        </c:ser>
        <c:ser>
          <c:idx val="5"/>
          <c:order val="5"/>
          <c:tx>
            <c:strRef>
              <c:f>'Footprint 2016-H1'!$G$13:$G$13</c:f>
              <c:strCache>
                <c:ptCount val="1"/>
                <c:pt idx="0">
                  <c:v>0,99</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55DA-4E2B-86F0-8BD7CB34E630}"/>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2016-H1'!$G$17:$G$17</c:f>
              <c:numCache>
                <c:formatCode>0.00</c:formatCode>
                <c:ptCount val="1"/>
                <c:pt idx="0">
                  <c:v>0</c:v>
                </c:pt>
              </c:numCache>
            </c:numRef>
          </c:val>
          <c:extLst>
            <c:ext xmlns:c16="http://schemas.microsoft.com/office/drawing/2014/chart" uri="{C3380CC4-5D6E-409C-BE32-E72D297353CC}">
              <c16:uniqueId val="{00000006-55DA-4E2B-86F0-8BD7CB34E630}"/>
            </c:ext>
          </c:extLst>
        </c:ser>
        <c:ser>
          <c:idx val="7"/>
          <c:order val="7"/>
          <c:tx>
            <c:strRef>
              <c:f>'Footprint 2016-H1'!$G$19:$G$19</c:f>
              <c:strCache>
                <c:ptCount val="1"/>
                <c:pt idx="0">
                  <c:v>19,81</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55DA-4E2B-86F0-8BD7CB34E630}"/>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2016-H1</a:t>
            </a:r>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1C2-4745-ADB5-2BE1B428D11A}"/>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C2-4745-ADB5-2BE1B428D11A}"/>
                </c:ext>
              </c:extLst>
            </c:dLbl>
            <c:dLbl>
              <c:idx val="3"/>
              <c:layout>
                <c:manualLayout>
                  <c:x val="8.6339057015463447E-2"/>
                  <c:y val="0.1299059403435622"/>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E1C2-4745-ADB5-2BE1B428D11A}"/>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2016-H1'!$D$26:$D$29</c:f>
              <c:strCache>
                <c:ptCount val="4"/>
                <c:pt idx="0">
                  <c:v>Wagenpark incl. groot materieel</c:v>
                </c:pt>
                <c:pt idx="1">
                  <c:v>Brandstoffen materieel</c:v>
                </c:pt>
                <c:pt idx="2">
                  <c:v>Elektriciteit </c:v>
                </c:pt>
                <c:pt idx="3">
                  <c:v>Brandstoffen voor verwarming</c:v>
                </c:pt>
              </c:strCache>
            </c:strRef>
          </c:cat>
          <c:val>
            <c:numRef>
              <c:f>'Footprint 2016-H1'!$G$26:$G$29</c:f>
              <c:numCache>
                <c:formatCode>0.00</c:formatCode>
                <c:ptCount val="4"/>
                <c:pt idx="0">
                  <c:v>181.57583890000004</c:v>
                </c:pt>
                <c:pt idx="1">
                  <c:v>11.800279600000001</c:v>
                </c:pt>
                <c:pt idx="2">
                  <c:v>0</c:v>
                </c:pt>
                <c:pt idx="3">
                  <c:v>19.809306666666668</c:v>
                </c:pt>
              </c:numCache>
            </c:numRef>
          </c:val>
          <c:extLst>
            <c:ext xmlns:c16="http://schemas.microsoft.com/office/drawing/2014/chart" uri="{C3380CC4-5D6E-409C-BE32-E72D297353CC}">
              <c16:uniqueId val="{00000003-E1C2-4745-ADB5-2BE1B428D11A}"/>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2016-H1</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FE-44D1-887B-B34DF59A5BD2}"/>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2016-H1'!$F$23:$F$24</c:f>
              <c:strCache>
                <c:ptCount val="2"/>
                <c:pt idx="0">
                  <c:v>Scope 1</c:v>
                </c:pt>
                <c:pt idx="1">
                  <c:v>Scope 2</c:v>
                </c:pt>
              </c:strCache>
            </c:strRef>
          </c:cat>
          <c:val>
            <c:numRef>
              <c:f>'Footprint 2016-H1'!$G$23:$G$24</c:f>
              <c:numCache>
                <c:formatCode>0.00</c:formatCode>
                <c:ptCount val="2"/>
                <c:pt idx="0">
                  <c:v>213.18542516666668</c:v>
                </c:pt>
                <c:pt idx="1">
                  <c:v>0</c:v>
                </c:pt>
              </c:numCache>
            </c:numRef>
          </c:val>
          <c:extLst>
            <c:ext xmlns:c16="http://schemas.microsoft.com/office/drawing/2014/chart" uri="{C3380CC4-5D6E-409C-BE32-E72D297353CC}">
              <c16:uniqueId val="{00000001-DFFE-44D1-887B-B34DF59A5BD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2016'!$A$9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2016'!$G$11:$G$19</c:f>
              <c:numCache>
                <c:formatCode>General</c:formatCode>
                <c:ptCount val="9"/>
                <c:pt idx="0" formatCode="0.00">
                  <c:v>375.32765978999998</c:v>
                </c:pt>
                <c:pt idx="2" formatCode="0.00">
                  <c:v>1.7368679999999999</c:v>
                </c:pt>
                <c:pt idx="3" formatCode="0.00">
                  <c:v>0.90562500000000001</c:v>
                </c:pt>
                <c:pt idx="4" formatCode="0.00">
                  <c:v>19.721830239999999</c:v>
                </c:pt>
                <c:pt idx="6" formatCode="0.00">
                  <c:v>0</c:v>
                </c:pt>
                <c:pt idx="8" formatCode="0.00">
                  <c:v>35.8902</c:v>
                </c:pt>
              </c:numCache>
            </c:numRef>
          </c:val>
          <c:extLst>
            <c:ext xmlns:c16="http://schemas.microsoft.com/office/drawing/2014/chart" uri="{C3380CC4-5D6E-409C-BE32-E72D297353CC}">
              <c16:uniqueId val="{00000000-84B3-44B0-A948-B774927955F0}"/>
            </c:ext>
          </c:extLst>
        </c:ser>
        <c:ser>
          <c:idx val="1"/>
          <c:order val="1"/>
          <c:tx>
            <c:strRef>
              <c:f>'Footprint 2016'!$A$13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1-84B3-44B0-A948-B774927955F0}"/>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2016'!$A$17</c:f>
              <c:numCache>
                <c:formatCode>General</c:formatCode>
                <c:ptCount val="1"/>
                <c:pt idx="0">
                  <c:v>0</c:v>
                </c:pt>
              </c:numCache>
            </c:numRef>
          </c:val>
          <c:extLst>
            <c:ext xmlns:c16="http://schemas.microsoft.com/office/drawing/2014/chart" uri="{C3380CC4-5D6E-409C-BE32-E72D297353CC}">
              <c16:uniqueId val="{00000002-84B3-44B0-A948-B774927955F0}"/>
            </c:ext>
          </c:extLst>
        </c:ser>
        <c:ser>
          <c:idx val="3"/>
          <c:order val="3"/>
          <c:tx>
            <c:strRef>
              <c:f>'Footprint 2016'!$A$19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84B3-44B0-A948-B774927955F0}"/>
            </c:ext>
          </c:extLst>
        </c:ser>
        <c:ser>
          <c:idx val="4"/>
          <c:order val="4"/>
          <c:tx>
            <c:strRef>
              <c:f>'Footprint 2016'!$G$11</c:f>
              <c:strCache>
                <c:ptCount val="1"/>
                <c:pt idx="0">
                  <c:v>375,33</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4-84B3-44B0-A948-B774927955F0}"/>
            </c:ext>
          </c:extLst>
        </c:ser>
        <c:ser>
          <c:idx val="5"/>
          <c:order val="5"/>
          <c:tx>
            <c:strRef>
              <c:f>'Footprint 2016'!$G$13</c:f>
              <c:strCache>
                <c:ptCount val="1"/>
                <c:pt idx="0">
                  <c:v>1,74</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5-84B3-44B0-A948-B774927955F0}"/>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2016'!$G$17</c:f>
              <c:numCache>
                <c:formatCode>0.00</c:formatCode>
                <c:ptCount val="1"/>
                <c:pt idx="0">
                  <c:v>0</c:v>
                </c:pt>
              </c:numCache>
            </c:numRef>
          </c:val>
          <c:extLst>
            <c:ext xmlns:c16="http://schemas.microsoft.com/office/drawing/2014/chart" uri="{C3380CC4-5D6E-409C-BE32-E72D297353CC}">
              <c16:uniqueId val="{00000006-84B3-44B0-A948-B774927955F0}"/>
            </c:ext>
          </c:extLst>
        </c:ser>
        <c:ser>
          <c:idx val="7"/>
          <c:order val="7"/>
          <c:tx>
            <c:strRef>
              <c:f>'Footprint 2016'!$G$19</c:f>
              <c:strCache>
                <c:ptCount val="1"/>
                <c:pt idx="0">
                  <c:v>35,89</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2016'!$A$11:$A$19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84B3-44B0-A948-B774927955F0}"/>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2016</a:t>
            </a:r>
          </a:p>
        </c:rich>
      </c:tx>
      <c:overlay val="0"/>
    </c:title>
    <c:autoTitleDeleted val="0"/>
    <c:plotArea>
      <c:layout/>
      <c:pieChart>
        <c:varyColors val="1"/>
        <c:ser>
          <c:idx val="0"/>
          <c:order val="0"/>
          <c:dLbls>
            <c:dLbl>
              <c:idx val="1"/>
              <c:layout>
                <c:manualLayout>
                  <c:x val="-8.282059812946016E-2"/>
                  <c:y val="6.67920937595384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E80-89EB-5ABCCA0418EB}"/>
                </c:ext>
              </c:extLst>
            </c:dLbl>
            <c:dLbl>
              <c:idx val="2"/>
              <c:layout>
                <c:manualLayout>
                  <c:x val="1.8662526339137373E-2"/>
                  <c:y val="-4.788021403087190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E80-89EB-5ABCCA0418EB}"/>
                </c:ext>
              </c:extLst>
            </c:dLbl>
            <c:dLbl>
              <c:idx val="3"/>
              <c:layout>
                <c:manualLayout>
                  <c:x val="0.1666603083065322"/>
                  <c:y val="6.53745901383928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E80-89EB-5ABCCA0418EB}"/>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2016'!$D$26:$D$29</c:f>
              <c:strCache>
                <c:ptCount val="4"/>
                <c:pt idx="0">
                  <c:v>Wagenpark incl. groot materieel</c:v>
                </c:pt>
                <c:pt idx="1">
                  <c:v>Brandstoffen materieel</c:v>
                </c:pt>
                <c:pt idx="2">
                  <c:v>Elektriciteit </c:v>
                </c:pt>
                <c:pt idx="3">
                  <c:v>Brandstoffen voor verwarming</c:v>
                </c:pt>
              </c:strCache>
            </c:strRef>
          </c:cat>
          <c:val>
            <c:numRef>
              <c:f>'Footprint 2016'!$G$26:$G$29</c:f>
              <c:numCache>
                <c:formatCode>0.00</c:formatCode>
                <c:ptCount val="4"/>
                <c:pt idx="0">
                  <c:v>375.32765978999998</c:v>
                </c:pt>
                <c:pt idx="1">
                  <c:v>22.364323239999997</c:v>
                </c:pt>
                <c:pt idx="2">
                  <c:v>0</c:v>
                </c:pt>
                <c:pt idx="3">
                  <c:v>35.8902</c:v>
                </c:pt>
              </c:numCache>
            </c:numRef>
          </c:val>
          <c:extLst>
            <c:ext xmlns:c16="http://schemas.microsoft.com/office/drawing/2014/chart" uri="{C3380CC4-5D6E-409C-BE32-E72D297353CC}">
              <c16:uniqueId val="{00000003-F769-4E80-89EB-5ABCCA0418E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2016</a:t>
            </a:r>
            <a:endParaRPr lang="nl-NL"/>
          </a:p>
        </c:rich>
      </c:tx>
      <c:overlay val="0"/>
    </c:title>
    <c:autoTitleDeleted val="0"/>
    <c:plotArea>
      <c:layout/>
      <c:pieChart>
        <c:varyColors val="1"/>
        <c:ser>
          <c:idx val="0"/>
          <c:order val="0"/>
          <c:dLbls>
            <c:dLbl>
              <c:idx val="1"/>
              <c:layout>
                <c:manualLayout>
                  <c:x val="-9.3788877541546745E-2"/>
                  <c:y val="4.24906265431634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C2B-4BAE-8E84-248B040DF1A9}"/>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2016'!$F$23:$F$24</c:f>
              <c:strCache>
                <c:ptCount val="2"/>
                <c:pt idx="0">
                  <c:v>Scope 1</c:v>
                </c:pt>
                <c:pt idx="1">
                  <c:v>Scope 2</c:v>
                </c:pt>
              </c:strCache>
            </c:strRef>
          </c:cat>
          <c:val>
            <c:numRef>
              <c:f>'Footprint 2016'!$G$23:$G$24</c:f>
              <c:numCache>
                <c:formatCode>0.00</c:formatCode>
                <c:ptCount val="2"/>
                <c:pt idx="0">
                  <c:v>433.58218302999995</c:v>
                </c:pt>
                <c:pt idx="1">
                  <c:v>0</c:v>
                </c:pt>
              </c:numCache>
            </c:numRef>
          </c:val>
          <c:extLst>
            <c:ext xmlns:c16="http://schemas.microsoft.com/office/drawing/2014/chart" uri="{C3380CC4-5D6E-409C-BE32-E72D297353CC}">
              <c16:uniqueId val="{00000001-EC2B-4BAE-8E84-248B040DF1A9}"/>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2017- H1'!$A$9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 H1'!$G$11:$G$19</c:f>
              <c:numCache>
                <c:formatCode>General</c:formatCode>
                <c:ptCount val="9"/>
                <c:pt idx="0" formatCode="0.00">
                  <c:v>191.17439759999999</c:v>
                </c:pt>
                <c:pt idx="2" formatCode="0.00">
                  <c:v>0.34133400000000003</c:v>
                </c:pt>
                <c:pt idx="3" formatCode="0.00">
                  <c:v>0.83317500000000011</c:v>
                </c:pt>
                <c:pt idx="4" formatCode="0.00">
                  <c:v>5.8543662000000003</c:v>
                </c:pt>
                <c:pt idx="6" formatCode="0.00">
                  <c:v>7.9620174923076927</c:v>
                </c:pt>
                <c:pt idx="8" formatCode="0.00">
                  <c:v>16.568767211538464</c:v>
                </c:pt>
              </c:numCache>
            </c:numRef>
          </c:val>
          <c:extLst>
            <c:ext xmlns:c16="http://schemas.microsoft.com/office/drawing/2014/chart" uri="{C3380CC4-5D6E-409C-BE32-E72D297353CC}">
              <c16:uniqueId val="{00000000-1DEC-4F44-8A2D-7A1F86E6E87B}"/>
            </c:ext>
          </c:extLst>
        </c:ser>
        <c:ser>
          <c:idx val="1"/>
          <c:order val="1"/>
          <c:tx>
            <c:strRef>
              <c:f>'Footprint 2017- H1'!$A$13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1DEC-4F44-8A2D-7A1F86E6E87B}"/>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 H1'!$A$17</c:f>
              <c:numCache>
                <c:formatCode>General</c:formatCode>
                <c:ptCount val="1"/>
                <c:pt idx="0">
                  <c:v>0</c:v>
                </c:pt>
              </c:numCache>
            </c:numRef>
          </c:val>
          <c:extLst>
            <c:ext xmlns:c16="http://schemas.microsoft.com/office/drawing/2014/chart" uri="{C3380CC4-5D6E-409C-BE32-E72D297353CC}">
              <c16:uniqueId val="{00000002-1DEC-4F44-8A2D-7A1F86E6E87B}"/>
            </c:ext>
          </c:extLst>
        </c:ser>
        <c:ser>
          <c:idx val="3"/>
          <c:order val="3"/>
          <c:tx>
            <c:strRef>
              <c:f>'Footprint 2017- H1'!$A$19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1DEC-4F44-8A2D-7A1F86E6E87B}"/>
            </c:ext>
          </c:extLst>
        </c:ser>
        <c:ser>
          <c:idx val="4"/>
          <c:order val="4"/>
          <c:tx>
            <c:strRef>
              <c:f>'Footprint 2017- H1'!$G$11</c:f>
              <c:strCache>
                <c:ptCount val="1"/>
                <c:pt idx="0">
                  <c:v>191,17</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1DEC-4F44-8A2D-7A1F86E6E87B}"/>
            </c:ext>
          </c:extLst>
        </c:ser>
        <c:ser>
          <c:idx val="5"/>
          <c:order val="5"/>
          <c:tx>
            <c:strRef>
              <c:f>'Footprint 2017- H1'!$G$13</c:f>
              <c:strCache>
                <c:ptCount val="1"/>
                <c:pt idx="0">
                  <c:v>0,34</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1DEC-4F44-8A2D-7A1F86E6E87B}"/>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 H1'!$G$17</c:f>
              <c:numCache>
                <c:formatCode>0.00</c:formatCode>
                <c:ptCount val="1"/>
                <c:pt idx="0">
                  <c:v>7.9620174923076927</c:v>
                </c:pt>
              </c:numCache>
            </c:numRef>
          </c:val>
          <c:extLst>
            <c:ext xmlns:c16="http://schemas.microsoft.com/office/drawing/2014/chart" uri="{C3380CC4-5D6E-409C-BE32-E72D297353CC}">
              <c16:uniqueId val="{00000006-1DEC-4F44-8A2D-7A1F86E6E87B}"/>
            </c:ext>
          </c:extLst>
        </c:ser>
        <c:ser>
          <c:idx val="7"/>
          <c:order val="7"/>
          <c:tx>
            <c:strRef>
              <c:f>'Footprint 2017- H1'!$G$19</c:f>
              <c:strCache>
                <c:ptCount val="1"/>
                <c:pt idx="0">
                  <c:v>16,57</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1DEC-4F44-8A2D-7A1F86E6E87B}"/>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2017-H1</a:t>
            </a:r>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DBF-475E-B15F-BDE70F6F2329}"/>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BF-475E-B15F-BDE70F6F2329}"/>
                </c:ext>
              </c:extLst>
            </c:dLbl>
            <c:dLbl>
              <c:idx val="3"/>
              <c:layout>
                <c:manualLayout>
                  <c:x val="8.6339057015463447E-2"/>
                  <c:y val="0.1299059403435622"/>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3DBF-475E-B15F-BDE70F6F2329}"/>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2017- H1'!$D$26:$D$29</c:f>
              <c:strCache>
                <c:ptCount val="4"/>
                <c:pt idx="0">
                  <c:v>Wagenpark incl. groot materieel</c:v>
                </c:pt>
                <c:pt idx="1">
                  <c:v>Brandstoffen materieel</c:v>
                </c:pt>
                <c:pt idx="2">
                  <c:v>Elektriciteit </c:v>
                </c:pt>
                <c:pt idx="3">
                  <c:v>Brandstoffen voor verwarming</c:v>
                </c:pt>
              </c:strCache>
            </c:strRef>
          </c:cat>
          <c:val>
            <c:numRef>
              <c:f>'Footprint 2017- H1'!$G$26:$G$29</c:f>
              <c:numCache>
                <c:formatCode>0.00</c:formatCode>
                <c:ptCount val="4"/>
                <c:pt idx="0">
                  <c:v>191.17439759999999</c:v>
                </c:pt>
                <c:pt idx="1">
                  <c:v>7.0288751999999999</c:v>
                </c:pt>
                <c:pt idx="2">
                  <c:v>7.9620174923076927</c:v>
                </c:pt>
                <c:pt idx="3">
                  <c:v>16.568767211538464</c:v>
                </c:pt>
              </c:numCache>
            </c:numRef>
          </c:val>
          <c:extLst>
            <c:ext xmlns:c16="http://schemas.microsoft.com/office/drawing/2014/chart" uri="{C3380CC4-5D6E-409C-BE32-E72D297353CC}">
              <c16:uniqueId val="{00000003-3DBF-475E-B15F-BDE70F6F2329}"/>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2017-H1</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16-45F4-9A81-1E4C80A94526}"/>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2017- H1'!$F$23:$F$24</c:f>
              <c:strCache>
                <c:ptCount val="2"/>
                <c:pt idx="0">
                  <c:v>Scope 1</c:v>
                </c:pt>
                <c:pt idx="1">
                  <c:v>Scope 2</c:v>
                </c:pt>
              </c:strCache>
            </c:strRef>
          </c:cat>
          <c:val>
            <c:numRef>
              <c:f>'Footprint 2017- H1'!$G$23:$G$24</c:f>
              <c:numCache>
                <c:formatCode>0.00</c:formatCode>
                <c:ptCount val="2"/>
                <c:pt idx="0">
                  <c:v>214.77204001153845</c:v>
                </c:pt>
                <c:pt idx="1">
                  <c:v>7.9620174923076927</c:v>
                </c:pt>
              </c:numCache>
            </c:numRef>
          </c:val>
          <c:extLst>
            <c:ext xmlns:c16="http://schemas.microsoft.com/office/drawing/2014/chart" uri="{C3380CC4-5D6E-409C-BE32-E72D297353CC}">
              <c16:uniqueId val="{00000001-9C16-45F4-9A81-1E4C80A94526}"/>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2017'!$A$9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2017'!$G$11:$G$19</c:f>
              <c:numCache>
                <c:formatCode>General</c:formatCode>
                <c:ptCount val="9"/>
                <c:pt idx="0" formatCode="0.00">
                  <c:v>414.29778333461542</c:v>
                </c:pt>
                <c:pt idx="2" formatCode="0.00">
                  <c:v>0.75515999999999994</c:v>
                </c:pt>
                <c:pt idx="3" formatCode="0.00">
                  <c:v>3.1153500000000003</c:v>
                </c:pt>
                <c:pt idx="4" formatCode="0.00">
                  <c:v>16.268586319999997</c:v>
                </c:pt>
                <c:pt idx="6" formatCode="0.00">
                  <c:v>15.397399560723514</c:v>
                </c:pt>
                <c:pt idx="8" formatCode="0.00">
                  <c:v>38.93641744186047</c:v>
                </c:pt>
              </c:numCache>
            </c:numRef>
          </c:val>
          <c:extLst>
            <c:ext xmlns:c16="http://schemas.microsoft.com/office/drawing/2014/chart" uri="{C3380CC4-5D6E-409C-BE32-E72D297353CC}">
              <c16:uniqueId val="{00000000-E230-4A2A-A54A-240032F3B73F}"/>
            </c:ext>
          </c:extLst>
        </c:ser>
        <c:ser>
          <c:idx val="1"/>
          <c:order val="1"/>
          <c:tx>
            <c:strRef>
              <c:f>'Footprint 2017'!$A$13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E230-4A2A-A54A-240032F3B73F}"/>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2017'!$A$17</c:f>
              <c:numCache>
                <c:formatCode>General</c:formatCode>
                <c:ptCount val="1"/>
                <c:pt idx="0">
                  <c:v>0</c:v>
                </c:pt>
              </c:numCache>
            </c:numRef>
          </c:val>
          <c:extLst>
            <c:ext xmlns:c16="http://schemas.microsoft.com/office/drawing/2014/chart" uri="{C3380CC4-5D6E-409C-BE32-E72D297353CC}">
              <c16:uniqueId val="{00000002-E230-4A2A-A54A-240032F3B73F}"/>
            </c:ext>
          </c:extLst>
        </c:ser>
        <c:ser>
          <c:idx val="3"/>
          <c:order val="3"/>
          <c:tx>
            <c:strRef>
              <c:f>'Footprint 2017'!$A$19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E230-4A2A-A54A-240032F3B73F}"/>
            </c:ext>
          </c:extLst>
        </c:ser>
        <c:ser>
          <c:idx val="4"/>
          <c:order val="4"/>
          <c:tx>
            <c:strRef>
              <c:f>'Footprint 2017'!$G$11</c:f>
              <c:strCache>
                <c:ptCount val="1"/>
                <c:pt idx="0">
                  <c:v>414,30</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E230-4A2A-A54A-240032F3B73F}"/>
            </c:ext>
          </c:extLst>
        </c:ser>
        <c:ser>
          <c:idx val="5"/>
          <c:order val="5"/>
          <c:tx>
            <c:strRef>
              <c:f>'Footprint 2017'!$G$13</c:f>
              <c:strCache>
                <c:ptCount val="1"/>
                <c:pt idx="0">
                  <c:v>0,76</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E230-4A2A-A54A-240032F3B73F}"/>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2017'!$G$17</c:f>
              <c:numCache>
                <c:formatCode>0.00</c:formatCode>
                <c:ptCount val="1"/>
                <c:pt idx="0">
                  <c:v>15.397399560723514</c:v>
                </c:pt>
              </c:numCache>
            </c:numRef>
          </c:val>
          <c:extLst>
            <c:ext xmlns:c16="http://schemas.microsoft.com/office/drawing/2014/chart" uri="{C3380CC4-5D6E-409C-BE32-E72D297353CC}">
              <c16:uniqueId val="{00000006-E230-4A2A-A54A-240032F3B73F}"/>
            </c:ext>
          </c:extLst>
        </c:ser>
        <c:ser>
          <c:idx val="7"/>
          <c:order val="7"/>
          <c:tx>
            <c:strRef>
              <c:f>'Footprint 2017'!$G$19</c:f>
              <c:strCache>
                <c:ptCount val="1"/>
                <c:pt idx="0">
                  <c:v>38,94</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2017'!$A$11:$A$19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E230-4A2A-A54A-240032F3B73F}"/>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2016-H1</a:t>
            </a:r>
          </a:p>
        </c:rich>
      </c:tx>
      <c:overlay val="0"/>
    </c:title>
    <c:autoTitleDeleted val="0"/>
    <c:plotArea>
      <c:layout/>
      <c:pieChart>
        <c:varyColors val="1"/>
        <c:ser>
          <c:idx val="0"/>
          <c:order val="0"/>
          <c:dLbls>
            <c:dLbl>
              <c:idx val="1"/>
              <c:layout>
                <c:manualLayout>
                  <c:x val="-8.2820598129460354E-2"/>
                  <c:y val="6.679209375953855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FF-49B5-BD4A-95BA44CCB6CB}"/>
                </c:ext>
              </c:extLst>
            </c:dLbl>
            <c:dLbl>
              <c:idx val="2"/>
              <c:layout>
                <c:manualLayout>
                  <c:x val="1.8662526339137415E-2"/>
                  <c:y val="-4.788021403087201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FF-49B5-BD4A-95BA44CCB6CB}"/>
                </c:ext>
              </c:extLst>
            </c:dLbl>
            <c:dLbl>
              <c:idx val="3"/>
              <c:layout>
                <c:manualLayout>
                  <c:x val="0.1666603083065322"/>
                  <c:y val="6.53745901383928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FF-49B5-BD4A-95BA44CCB6CB}"/>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2013-H1'!$D$26:$D$29</c:f>
              <c:strCache>
                <c:ptCount val="4"/>
                <c:pt idx="0">
                  <c:v>Wagenpark incl. groot materieel</c:v>
                </c:pt>
                <c:pt idx="1">
                  <c:v>Brandstoffen materieel</c:v>
                </c:pt>
                <c:pt idx="2">
                  <c:v>Elektriciteit </c:v>
                </c:pt>
                <c:pt idx="3">
                  <c:v>Brandstoffen voor verwarming</c:v>
                </c:pt>
              </c:strCache>
            </c:strRef>
          </c:cat>
          <c:val>
            <c:numRef>
              <c:f>'Footprint 2013-H1'!$G$26:$G$29</c:f>
              <c:numCache>
                <c:formatCode>0.00</c:formatCode>
                <c:ptCount val="4"/>
                <c:pt idx="0">
                  <c:v>156.12851000000001</c:v>
                </c:pt>
                <c:pt idx="1">
                  <c:v>5.9435779999999996</c:v>
                </c:pt>
                <c:pt idx="2">
                  <c:v>12.137976</c:v>
                </c:pt>
                <c:pt idx="3">
                  <c:v>12.219624</c:v>
                </c:pt>
              </c:numCache>
            </c:numRef>
          </c:val>
          <c:extLst>
            <c:ext xmlns:c16="http://schemas.microsoft.com/office/drawing/2014/chart" uri="{C3380CC4-5D6E-409C-BE32-E72D297353CC}">
              <c16:uniqueId val="{00000003-7CFF-49B5-BD4A-95BA44CCB6C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2017</a:t>
            </a:r>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D9B-4868-B210-25FB2C87CEC8}"/>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D9B-4868-B210-25FB2C87CEC8}"/>
                </c:ext>
              </c:extLst>
            </c:dLbl>
            <c:dLbl>
              <c:idx val="3"/>
              <c:layout>
                <c:manualLayout>
                  <c:x val="8.6339057015463447E-2"/>
                  <c:y val="0.1299059403435622"/>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9D9B-4868-B210-25FB2C87CEC8}"/>
                </c:ext>
              </c:extLst>
            </c:dLbl>
            <c:spPr>
              <a:noFill/>
              <a:ln>
                <a:noFill/>
              </a:ln>
              <a:effectLst/>
            </c:spPr>
            <c:txPr>
              <a:bodyPr/>
              <a:lstStyle/>
              <a:p>
                <a:pPr>
                  <a:defRPr sz="105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2017'!$D$26:$D$29</c:f>
              <c:strCache>
                <c:ptCount val="4"/>
                <c:pt idx="0">
                  <c:v>Wagenpark incl. groot materieel</c:v>
                </c:pt>
                <c:pt idx="1">
                  <c:v>Brandstoffen materieel</c:v>
                </c:pt>
                <c:pt idx="2">
                  <c:v>Elektriciteit </c:v>
                </c:pt>
                <c:pt idx="3">
                  <c:v>Brandstoffen voor verwarming</c:v>
                </c:pt>
              </c:strCache>
            </c:strRef>
          </c:cat>
          <c:val>
            <c:numRef>
              <c:f>'Footprint 2017'!$G$26:$G$29</c:f>
              <c:numCache>
                <c:formatCode>0.00</c:formatCode>
                <c:ptCount val="4"/>
                <c:pt idx="0">
                  <c:v>414.29778333461542</c:v>
                </c:pt>
                <c:pt idx="1">
                  <c:v>20.139096319999997</c:v>
                </c:pt>
                <c:pt idx="2">
                  <c:v>15.397399560723514</c:v>
                </c:pt>
                <c:pt idx="3">
                  <c:v>38.93641744186047</c:v>
                </c:pt>
              </c:numCache>
            </c:numRef>
          </c:val>
          <c:extLst>
            <c:ext xmlns:c16="http://schemas.microsoft.com/office/drawing/2014/chart" uri="{C3380CC4-5D6E-409C-BE32-E72D297353CC}">
              <c16:uniqueId val="{00000003-9D9B-4868-B210-25FB2C87CEC8}"/>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2017</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9A2-478A-BBFB-DE9CB6043337}"/>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2017'!$F$23:$F$24</c:f>
              <c:strCache>
                <c:ptCount val="2"/>
                <c:pt idx="0">
                  <c:v>Scope 1</c:v>
                </c:pt>
                <c:pt idx="1">
                  <c:v>Scope 2</c:v>
                </c:pt>
              </c:strCache>
            </c:strRef>
          </c:cat>
          <c:val>
            <c:numRef>
              <c:f>'Footprint 2017'!$G$23:$G$24</c:f>
              <c:numCache>
                <c:formatCode>0.00</c:formatCode>
                <c:ptCount val="2"/>
                <c:pt idx="0">
                  <c:v>473.37329709647588</c:v>
                </c:pt>
                <c:pt idx="1">
                  <c:v>15.397399560723514</c:v>
                </c:pt>
              </c:numCache>
            </c:numRef>
          </c:val>
          <c:extLst>
            <c:ext xmlns:c16="http://schemas.microsoft.com/office/drawing/2014/chart" uri="{C3380CC4-5D6E-409C-BE32-E72D297353CC}">
              <c16:uniqueId val="{00000001-09A2-478A-BBFB-DE9CB6043337}"/>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2018 H1'!$A$9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 H1'!$G$11:$G$19</c:f>
              <c:numCache>
                <c:formatCode>General</c:formatCode>
                <c:ptCount val="9"/>
                <c:pt idx="0" formatCode="0.00">
                  <c:v>198.8806285</c:v>
                </c:pt>
                <c:pt idx="2" formatCode="0.00">
                  <c:v>0.37925999999999999</c:v>
                </c:pt>
                <c:pt idx="3" formatCode="0.00">
                  <c:v>1.3041</c:v>
                </c:pt>
                <c:pt idx="4" formatCode="0.00">
                  <c:v>6.4750584</c:v>
                </c:pt>
                <c:pt idx="6" formatCode="0.00">
                  <c:v>10.3580928</c:v>
                </c:pt>
                <c:pt idx="8" formatCode="0.00">
                  <c:v>15.5255859632107</c:v>
                </c:pt>
              </c:numCache>
            </c:numRef>
          </c:val>
          <c:extLst>
            <c:ext xmlns:c16="http://schemas.microsoft.com/office/drawing/2014/chart" uri="{C3380CC4-5D6E-409C-BE32-E72D297353CC}">
              <c16:uniqueId val="{00000000-07D6-47CB-B5A5-BB52302068D4}"/>
            </c:ext>
          </c:extLst>
        </c:ser>
        <c:ser>
          <c:idx val="1"/>
          <c:order val="1"/>
          <c:tx>
            <c:strRef>
              <c:f>'Footprint 2018 H1'!$A$13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07D6-47CB-B5A5-BB52302068D4}"/>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 H1'!$A$17</c:f>
              <c:numCache>
                <c:formatCode>General</c:formatCode>
                <c:ptCount val="1"/>
                <c:pt idx="0">
                  <c:v>0</c:v>
                </c:pt>
              </c:numCache>
            </c:numRef>
          </c:val>
          <c:extLst>
            <c:ext xmlns:c16="http://schemas.microsoft.com/office/drawing/2014/chart" uri="{C3380CC4-5D6E-409C-BE32-E72D297353CC}">
              <c16:uniqueId val="{00000002-07D6-47CB-B5A5-BB52302068D4}"/>
            </c:ext>
          </c:extLst>
        </c:ser>
        <c:ser>
          <c:idx val="3"/>
          <c:order val="3"/>
          <c:tx>
            <c:strRef>
              <c:f>'Footprint 2018 H1'!$A$19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07D6-47CB-B5A5-BB52302068D4}"/>
            </c:ext>
          </c:extLst>
        </c:ser>
        <c:ser>
          <c:idx val="4"/>
          <c:order val="4"/>
          <c:tx>
            <c:strRef>
              <c:f>'Footprint 2018 H1'!$G$11</c:f>
              <c:strCache>
                <c:ptCount val="1"/>
                <c:pt idx="0">
                  <c:v>198,88</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07D6-47CB-B5A5-BB52302068D4}"/>
            </c:ext>
          </c:extLst>
        </c:ser>
        <c:ser>
          <c:idx val="5"/>
          <c:order val="5"/>
          <c:tx>
            <c:strRef>
              <c:f>'Footprint 2018 H1'!$G$13</c:f>
              <c:strCache>
                <c:ptCount val="1"/>
                <c:pt idx="0">
                  <c:v>0,38</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07D6-47CB-B5A5-BB52302068D4}"/>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 H1'!$G$17</c:f>
              <c:numCache>
                <c:formatCode>0.00</c:formatCode>
                <c:ptCount val="1"/>
                <c:pt idx="0">
                  <c:v>10.3580928</c:v>
                </c:pt>
              </c:numCache>
            </c:numRef>
          </c:val>
          <c:extLst>
            <c:ext xmlns:c16="http://schemas.microsoft.com/office/drawing/2014/chart" uri="{C3380CC4-5D6E-409C-BE32-E72D297353CC}">
              <c16:uniqueId val="{00000006-07D6-47CB-B5A5-BB52302068D4}"/>
            </c:ext>
          </c:extLst>
        </c:ser>
        <c:ser>
          <c:idx val="7"/>
          <c:order val="7"/>
          <c:tx>
            <c:strRef>
              <c:f>'Footprint 2018 H1'!$G$19</c:f>
              <c:strCache>
                <c:ptCount val="1"/>
                <c:pt idx="0">
                  <c:v>15,53</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 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07D6-47CB-B5A5-BB52302068D4}"/>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2018-H1</a:t>
            </a:r>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19-4F45-AEC3-DEAFEC6535F1}"/>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19-4F45-AEC3-DEAFEC6535F1}"/>
                </c:ext>
              </c:extLst>
            </c:dLbl>
            <c:dLbl>
              <c:idx val="3"/>
              <c:layout>
                <c:manualLayout>
                  <c:x val="5.5133296132241286E-2"/>
                  <c:y val="0.10733844403907523"/>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9E19-4F45-AEC3-DEAFEC6535F1}"/>
                </c:ext>
              </c:extLst>
            </c:dLbl>
            <c:spPr>
              <a:noFill/>
              <a:ln>
                <a:noFill/>
              </a:ln>
              <a:effectLst/>
            </c:spPr>
            <c:txPr>
              <a:bodyPr/>
              <a:lstStyle/>
              <a:p>
                <a:pPr>
                  <a:defRPr sz="10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 H1'!$D$26:$D$29</c:f>
              <c:strCache>
                <c:ptCount val="4"/>
                <c:pt idx="0">
                  <c:v>Wagenpark incl. groot materieel</c:v>
                </c:pt>
                <c:pt idx="1">
                  <c:v>Brandstoffen materieel</c:v>
                </c:pt>
                <c:pt idx="2">
                  <c:v>Elektriciteit </c:v>
                </c:pt>
                <c:pt idx="3">
                  <c:v>Brandstoffen voor verwarming</c:v>
                </c:pt>
              </c:strCache>
            </c:strRef>
          </c:cat>
          <c:val>
            <c:numRef>
              <c:f>'Footprint 2018 H1'!$G$26:$G$29</c:f>
              <c:numCache>
                <c:formatCode>0.00</c:formatCode>
                <c:ptCount val="4"/>
                <c:pt idx="0">
                  <c:v>198.8806285</c:v>
                </c:pt>
                <c:pt idx="1">
                  <c:v>8.1584184000000004</c:v>
                </c:pt>
                <c:pt idx="2">
                  <c:v>10.3580928</c:v>
                </c:pt>
                <c:pt idx="3">
                  <c:v>15.5255859632107</c:v>
                </c:pt>
              </c:numCache>
            </c:numRef>
          </c:val>
          <c:extLst>
            <c:ext xmlns:c16="http://schemas.microsoft.com/office/drawing/2014/chart" uri="{C3380CC4-5D6E-409C-BE32-E72D297353CC}">
              <c16:uniqueId val="{00000003-9E19-4F45-AEC3-DEAFEC6535F1}"/>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2018-H1</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B55-4514-9C16-E331F5913E53}"/>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 H1'!$F$23:$F$24</c:f>
              <c:strCache>
                <c:ptCount val="2"/>
                <c:pt idx="0">
                  <c:v>Scope 1</c:v>
                </c:pt>
                <c:pt idx="1">
                  <c:v>Scope 2</c:v>
                </c:pt>
              </c:strCache>
            </c:strRef>
          </c:cat>
          <c:val>
            <c:numRef>
              <c:f>'Footprint 2018 H1'!$G$23:$G$24</c:f>
              <c:numCache>
                <c:formatCode>0.00</c:formatCode>
                <c:ptCount val="2"/>
                <c:pt idx="0">
                  <c:v>222.56463286321068</c:v>
                </c:pt>
                <c:pt idx="1">
                  <c:v>10.3580928</c:v>
                </c:pt>
              </c:numCache>
            </c:numRef>
          </c:val>
          <c:extLst>
            <c:ext xmlns:c16="http://schemas.microsoft.com/office/drawing/2014/chart" uri="{C3380CC4-5D6E-409C-BE32-E72D297353CC}">
              <c16:uniqueId val="{00000001-CB55-4514-9C16-E331F5913E53}"/>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2018'!$A$9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2018'!$G$11:$G$19</c:f>
              <c:numCache>
                <c:formatCode>General</c:formatCode>
                <c:ptCount val="9"/>
                <c:pt idx="0" formatCode="0.00">
                  <c:v>415.36106684999999</c:v>
                </c:pt>
                <c:pt idx="2" formatCode="0.00">
                  <c:v>0.86843399999999993</c:v>
                </c:pt>
                <c:pt idx="3" formatCode="0.00">
                  <c:v>2.0648250000000004</c:v>
                </c:pt>
                <c:pt idx="4" formatCode="0.00">
                  <c:v>14.311792319999999</c:v>
                </c:pt>
                <c:pt idx="6" formatCode="0.00">
                  <c:v>21.039269166666667</c:v>
                </c:pt>
                <c:pt idx="8" formatCode="0.00">
                  <c:v>31.021813983050844</c:v>
                </c:pt>
              </c:numCache>
            </c:numRef>
          </c:val>
          <c:extLst>
            <c:ext xmlns:c16="http://schemas.microsoft.com/office/drawing/2014/chart" uri="{C3380CC4-5D6E-409C-BE32-E72D297353CC}">
              <c16:uniqueId val="{00000000-444B-411A-A4B8-49D7D2884B8C}"/>
            </c:ext>
          </c:extLst>
        </c:ser>
        <c:ser>
          <c:idx val="1"/>
          <c:order val="1"/>
          <c:tx>
            <c:strRef>
              <c:f>'Footprint 2018'!$A$13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444B-411A-A4B8-49D7D2884B8C}"/>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2018'!$A$17</c:f>
              <c:numCache>
                <c:formatCode>General</c:formatCode>
                <c:ptCount val="1"/>
                <c:pt idx="0">
                  <c:v>0</c:v>
                </c:pt>
              </c:numCache>
            </c:numRef>
          </c:val>
          <c:extLst>
            <c:ext xmlns:c16="http://schemas.microsoft.com/office/drawing/2014/chart" uri="{C3380CC4-5D6E-409C-BE32-E72D297353CC}">
              <c16:uniqueId val="{00000002-444B-411A-A4B8-49D7D2884B8C}"/>
            </c:ext>
          </c:extLst>
        </c:ser>
        <c:ser>
          <c:idx val="3"/>
          <c:order val="3"/>
          <c:tx>
            <c:strRef>
              <c:f>'Footprint 2018'!$A$19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444B-411A-A4B8-49D7D2884B8C}"/>
            </c:ext>
          </c:extLst>
        </c:ser>
        <c:ser>
          <c:idx val="4"/>
          <c:order val="4"/>
          <c:tx>
            <c:strRef>
              <c:f>'Footprint 2018'!$G$11</c:f>
              <c:strCache>
                <c:ptCount val="1"/>
                <c:pt idx="0">
                  <c:v>415,36</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444B-411A-A4B8-49D7D2884B8C}"/>
            </c:ext>
          </c:extLst>
        </c:ser>
        <c:ser>
          <c:idx val="5"/>
          <c:order val="5"/>
          <c:tx>
            <c:strRef>
              <c:f>'Footprint 2018'!$G$13</c:f>
              <c:strCache>
                <c:ptCount val="1"/>
                <c:pt idx="0">
                  <c:v>0,87</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444B-411A-A4B8-49D7D2884B8C}"/>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2018'!$G$17</c:f>
              <c:numCache>
                <c:formatCode>0.00</c:formatCode>
                <c:ptCount val="1"/>
                <c:pt idx="0">
                  <c:v>21.039269166666667</c:v>
                </c:pt>
              </c:numCache>
            </c:numRef>
          </c:val>
          <c:extLst>
            <c:ext xmlns:c16="http://schemas.microsoft.com/office/drawing/2014/chart" uri="{C3380CC4-5D6E-409C-BE32-E72D297353CC}">
              <c16:uniqueId val="{00000006-444B-411A-A4B8-49D7D2884B8C}"/>
            </c:ext>
          </c:extLst>
        </c:ser>
        <c:ser>
          <c:idx val="7"/>
          <c:order val="7"/>
          <c:tx>
            <c:strRef>
              <c:f>'Footprint 2018'!$G$19</c:f>
              <c:strCache>
                <c:ptCount val="1"/>
                <c:pt idx="0">
                  <c:v>31,02</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444B-411A-A4B8-49D7D2884B8C}"/>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2018</a:t>
            </a:r>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4A-455A-B49A-10395CFC83CE}"/>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4A-455A-B49A-10395CFC83CE}"/>
                </c:ext>
              </c:extLst>
            </c:dLbl>
            <c:dLbl>
              <c:idx val="3"/>
              <c:layout>
                <c:manualLayout>
                  <c:x val="6.0092380184760319E-2"/>
                  <c:y val="0.12246939441132906"/>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1A4A-455A-B49A-10395CFC83CE}"/>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2018'!$D$26:$D$29</c:f>
              <c:strCache>
                <c:ptCount val="4"/>
                <c:pt idx="0">
                  <c:v>Wagenpark incl. groot materieel</c:v>
                </c:pt>
                <c:pt idx="1">
                  <c:v>Brandstoffen materieel</c:v>
                </c:pt>
                <c:pt idx="2">
                  <c:v>Elektriciteit </c:v>
                </c:pt>
                <c:pt idx="3">
                  <c:v>Brandstoffen voor verwarming</c:v>
                </c:pt>
              </c:strCache>
            </c:strRef>
          </c:cat>
          <c:val>
            <c:numRef>
              <c:f>'Footprint 2018'!$G$26:$G$29</c:f>
              <c:numCache>
                <c:formatCode>0.00</c:formatCode>
                <c:ptCount val="4"/>
                <c:pt idx="0">
                  <c:v>415.36106684999999</c:v>
                </c:pt>
                <c:pt idx="1">
                  <c:v>17.245051319999998</c:v>
                </c:pt>
                <c:pt idx="2">
                  <c:v>21.039269166666667</c:v>
                </c:pt>
                <c:pt idx="3">
                  <c:v>31.021813983050844</c:v>
                </c:pt>
              </c:numCache>
            </c:numRef>
          </c:val>
          <c:extLst>
            <c:ext xmlns:c16="http://schemas.microsoft.com/office/drawing/2014/chart" uri="{C3380CC4-5D6E-409C-BE32-E72D297353CC}">
              <c16:uniqueId val="{00000003-1A4A-455A-B49A-10395CFC83CE}"/>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2018</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28A-44CC-9E8C-DEB429BA03D5}"/>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2018'!$F$23:$F$24</c:f>
              <c:strCache>
                <c:ptCount val="2"/>
                <c:pt idx="0">
                  <c:v>Scope 1</c:v>
                </c:pt>
                <c:pt idx="1">
                  <c:v>Scope 2</c:v>
                </c:pt>
              </c:strCache>
            </c:strRef>
          </c:cat>
          <c:val>
            <c:numRef>
              <c:f>'Footprint 2018'!$G$23:$G$24</c:f>
              <c:numCache>
                <c:formatCode>0.00</c:formatCode>
                <c:ptCount val="2"/>
                <c:pt idx="0">
                  <c:v>463.62793215305078</c:v>
                </c:pt>
                <c:pt idx="1">
                  <c:v>21.039269166666667</c:v>
                </c:pt>
              </c:numCache>
            </c:numRef>
          </c:val>
          <c:extLst>
            <c:ext xmlns:c16="http://schemas.microsoft.com/office/drawing/2014/chart" uri="{C3380CC4-5D6E-409C-BE32-E72D297353CC}">
              <c16:uniqueId val="{00000001-C28A-44CC-9E8C-DEB429BA03D5}"/>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2018'!$A$9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2018'!$G$11:$G$19</c:f>
              <c:numCache>
                <c:formatCode>General</c:formatCode>
                <c:ptCount val="9"/>
                <c:pt idx="0" formatCode="0.00">
                  <c:v>415.36106684999999</c:v>
                </c:pt>
                <c:pt idx="2" formatCode="0.00">
                  <c:v>0.86843399999999993</c:v>
                </c:pt>
                <c:pt idx="3" formatCode="0.00">
                  <c:v>2.0648250000000004</c:v>
                </c:pt>
                <c:pt idx="4" formatCode="0.00">
                  <c:v>14.311792319999999</c:v>
                </c:pt>
                <c:pt idx="6" formatCode="0.00">
                  <c:v>21.039269166666667</c:v>
                </c:pt>
                <c:pt idx="8" formatCode="0.00">
                  <c:v>31.021813983050844</c:v>
                </c:pt>
              </c:numCache>
            </c:numRef>
          </c:val>
          <c:extLst>
            <c:ext xmlns:c16="http://schemas.microsoft.com/office/drawing/2014/chart" uri="{C3380CC4-5D6E-409C-BE32-E72D297353CC}">
              <c16:uniqueId val="{00000000-BEC4-4592-A577-E8D029249DFB}"/>
            </c:ext>
          </c:extLst>
        </c:ser>
        <c:ser>
          <c:idx val="1"/>
          <c:order val="1"/>
          <c:tx>
            <c:strRef>
              <c:f>'Footprint 2018'!$A$13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1-BEC4-4592-A577-E8D029249DFB}"/>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2018'!$A$17</c:f>
              <c:numCache>
                <c:formatCode>General</c:formatCode>
                <c:ptCount val="1"/>
                <c:pt idx="0">
                  <c:v>0</c:v>
                </c:pt>
              </c:numCache>
            </c:numRef>
          </c:val>
          <c:extLst>
            <c:ext xmlns:c16="http://schemas.microsoft.com/office/drawing/2014/chart" uri="{C3380CC4-5D6E-409C-BE32-E72D297353CC}">
              <c16:uniqueId val="{00000002-BEC4-4592-A577-E8D029249DFB}"/>
            </c:ext>
          </c:extLst>
        </c:ser>
        <c:ser>
          <c:idx val="3"/>
          <c:order val="3"/>
          <c:tx>
            <c:strRef>
              <c:f>'Footprint 2018'!$A$19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3-BEC4-4592-A577-E8D029249DFB}"/>
            </c:ext>
          </c:extLst>
        </c:ser>
        <c:ser>
          <c:idx val="4"/>
          <c:order val="4"/>
          <c:tx>
            <c:strRef>
              <c:f>'Footprint 2018'!$G$11</c:f>
              <c:strCache>
                <c:ptCount val="1"/>
                <c:pt idx="0">
                  <c:v>415,36</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4-BEC4-4592-A577-E8D029249DFB}"/>
            </c:ext>
          </c:extLst>
        </c:ser>
        <c:ser>
          <c:idx val="5"/>
          <c:order val="5"/>
          <c:tx>
            <c:strRef>
              <c:f>'Footprint 2018'!$G$13</c:f>
              <c:strCache>
                <c:ptCount val="1"/>
                <c:pt idx="0">
                  <c:v>0,87</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5-BEC4-4592-A577-E8D029249DFB}"/>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2018'!$G$17</c:f>
              <c:numCache>
                <c:formatCode>0.00</c:formatCode>
                <c:ptCount val="1"/>
                <c:pt idx="0">
                  <c:v>21.039269166666667</c:v>
                </c:pt>
              </c:numCache>
            </c:numRef>
          </c:val>
          <c:extLst>
            <c:ext xmlns:c16="http://schemas.microsoft.com/office/drawing/2014/chart" uri="{C3380CC4-5D6E-409C-BE32-E72D297353CC}">
              <c16:uniqueId val="{00000006-BEC4-4592-A577-E8D029249DFB}"/>
            </c:ext>
          </c:extLst>
        </c:ser>
        <c:ser>
          <c:idx val="7"/>
          <c:order val="7"/>
          <c:tx>
            <c:strRef>
              <c:f>'Footprint 2018'!$G$19</c:f>
              <c:strCache>
                <c:ptCount val="1"/>
                <c:pt idx="0">
                  <c:v>31,02</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2018'!$A$11:$A$19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2016-H1'!#REF!</c:f>
              <c:numCache>
                <c:formatCode>General</c:formatCode>
                <c:ptCount val="1"/>
                <c:pt idx="0">
                  <c:v>1</c:v>
                </c:pt>
              </c:numCache>
            </c:numRef>
          </c:val>
          <c:extLst>
            <c:ext xmlns:c16="http://schemas.microsoft.com/office/drawing/2014/chart" uri="{C3380CC4-5D6E-409C-BE32-E72D297353CC}">
              <c16:uniqueId val="{00000007-BEC4-4592-A577-E8D029249DFB}"/>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2019</a:t>
            </a:r>
            <a:r>
              <a:rPr lang="nl-NL" baseline="0"/>
              <a:t> h1</a:t>
            </a:r>
            <a:endParaRPr lang="nl-NL"/>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78-4E20-B60E-7F35545AC09C}"/>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78-4E20-B60E-7F35545AC09C}"/>
                </c:ext>
              </c:extLst>
            </c:dLbl>
            <c:dLbl>
              <c:idx val="3"/>
              <c:layout>
                <c:manualLayout>
                  <c:x val="6.0092380184760319E-2"/>
                  <c:y val="0.12246939441132906"/>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8678-4E20-B60E-7F35545AC09C}"/>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2018'!$D$26:$D$29</c:f>
              <c:strCache>
                <c:ptCount val="4"/>
                <c:pt idx="0">
                  <c:v>Wagenpark incl. groot materieel</c:v>
                </c:pt>
                <c:pt idx="1">
                  <c:v>Brandstoffen materieel</c:v>
                </c:pt>
                <c:pt idx="2">
                  <c:v>Elektriciteit </c:v>
                </c:pt>
                <c:pt idx="3">
                  <c:v>Brandstoffen voor verwarming</c:v>
                </c:pt>
              </c:strCache>
            </c:strRef>
          </c:cat>
          <c:val>
            <c:numRef>
              <c:f>'Footprint 2018'!$G$26:$G$29</c:f>
              <c:numCache>
                <c:formatCode>0.00</c:formatCode>
                <c:ptCount val="4"/>
                <c:pt idx="0">
                  <c:v>415.36106684999999</c:v>
                </c:pt>
                <c:pt idx="1">
                  <c:v>17.245051319999998</c:v>
                </c:pt>
                <c:pt idx="2">
                  <c:v>21.039269166666667</c:v>
                </c:pt>
                <c:pt idx="3">
                  <c:v>31.021813983050844</c:v>
                </c:pt>
              </c:numCache>
            </c:numRef>
          </c:val>
          <c:extLst>
            <c:ext xmlns:c16="http://schemas.microsoft.com/office/drawing/2014/chart" uri="{C3380CC4-5D6E-409C-BE32-E72D297353CC}">
              <c16:uniqueId val="{00000003-8678-4E20-B60E-7F35545AC09C}"/>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2016-H1</a:t>
            </a:r>
            <a:endParaRPr lang="nl-NL"/>
          </a:p>
        </c:rich>
      </c:tx>
      <c:overlay val="0"/>
    </c:title>
    <c:autoTitleDeleted val="0"/>
    <c:plotArea>
      <c:layout/>
      <c:pieChart>
        <c:varyColors val="1"/>
        <c:ser>
          <c:idx val="0"/>
          <c:order val="0"/>
          <c:dLbls>
            <c:dLbl>
              <c:idx val="1"/>
              <c:layout>
                <c:manualLayout>
                  <c:x val="-9.3788877541546745E-2"/>
                  <c:y val="4.24906265431635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9B-486F-9C5F-041A4521F5E5}"/>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2013-H1'!$F$23:$F$24</c:f>
              <c:strCache>
                <c:ptCount val="2"/>
                <c:pt idx="0">
                  <c:v>Scope 1</c:v>
                </c:pt>
                <c:pt idx="1">
                  <c:v>Scope 2</c:v>
                </c:pt>
              </c:strCache>
            </c:strRef>
          </c:cat>
          <c:val>
            <c:numRef>
              <c:f>'Footprint 2013-H1'!$G$23:$G$24</c:f>
              <c:numCache>
                <c:formatCode>0.00</c:formatCode>
                <c:ptCount val="2"/>
                <c:pt idx="0">
                  <c:v>174.29171200000002</c:v>
                </c:pt>
                <c:pt idx="1">
                  <c:v>12.137976</c:v>
                </c:pt>
              </c:numCache>
            </c:numRef>
          </c:val>
          <c:extLst>
            <c:ext xmlns:c16="http://schemas.microsoft.com/office/drawing/2014/chart" uri="{C3380CC4-5D6E-409C-BE32-E72D297353CC}">
              <c16:uniqueId val="{00000001-9A9B-486F-9C5F-041A4521F5E5}"/>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2019 h1</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58-46FC-9350-561513AE7A92}"/>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2018'!$F$23:$F$24</c:f>
              <c:strCache>
                <c:ptCount val="2"/>
                <c:pt idx="0">
                  <c:v>Scope 1</c:v>
                </c:pt>
                <c:pt idx="1">
                  <c:v>Scope 2</c:v>
                </c:pt>
              </c:strCache>
            </c:strRef>
          </c:cat>
          <c:val>
            <c:numRef>
              <c:f>'Footprint 2018'!$G$23:$G$24</c:f>
              <c:numCache>
                <c:formatCode>0.00</c:formatCode>
                <c:ptCount val="2"/>
                <c:pt idx="0">
                  <c:v>463.62793215305078</c:v>
                </c:pt>
                <c:pt idx="1">
                  <c:v>21.039269166666667</c:v>
                </c:pt>
              </c:numCache>
            </c:numRef>
          </c:val>
          <c:extLst>
            <c:ext xmlns:c16="http://schemas.microsoft.com/office/drawing/2014/chart" uri="{C3380CC4-5D6E-409C-BE32-E72D297353CC}">
              <c16:uniqueId val="{00000001-1B58-46FC-9350-561513AE7A9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2019</a:t>
            </a:r>
            <a:endParaRPr lang="nl-NL" baseline="0"/>
          </a:p>
        </c:rich>
      </c:tx>
      <c:overlay val="0"/>
    </c:title>
    <c:autoTitleDeleted val="0"/>
    <c:plotArea>
      <c:layout/>
      <c:pieChart>
        <c:varyColors val="1"/>
        <c:ser>
          <c:idx val="0"/>
          <c:order val="0"/>
          <c:dLbls>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54-4C34-A4EF-DEB91A9C44A4}"/>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54-4C34-A4EF-DEB91A9C44A4}"/>
                </c:ext>
              </c:extLst>
            </c:dLbl>
            <c:dLbl>
              <c:idx val="3"/>
              <c:layout>
                <c:manualLayout>
                  <c:x val="6.0092380184760319E-2"/>
                  <c:y val="0.12246939441132906"/>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DA54-4C34-A4EF-DEB91A9C44A4}"/>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2019'!$D$28:$D$31</c:f>
              <c:strCache>
                <c:ptCount val="4"/>
                <c:pt idx="0">
                  <c:v>Wagenpark incl. groot materieel</c:v>
                </c:pt>
                <c:pt idx="1">
                  <c:v>Brandstoffen materieel</c:v>
                </c:pt>
                <c:pt idx="2">
                  <c:v>Elektriciteit </c:v>
                </c:pt>
                <c:pt idx="3">
                  <c:v>Brandstoffen voor verwarming</c:v>
                </c:pt>
              </c:strCache>
            </c:strRef>
          </c:cat>
          <c:val>
            <c:numRef>
              <c:f>'Footprint 2019'!$G$28:$G$31</c:f>
              <c:numCache>
                <c:formatCode>0.00</c:formatCode>
                <c:ptCount val="4"/>
                <c:pt idx="0">
                  <c:v>395.23503396000001</c:v>
                </c:pt>
                <c:pt idx="1">
                  <c:v>12.614130200000002</c:v>
                </c:pt>
                <c:pt idx="2">
                  <c:v>17.287831831395348</c:v>
                </c:pt>
                <c:pt idx="3">
                  <c:v>39.068189999999994</c:v>
                </c:pt>
              </c:numCache>
            </c:numRef>
          </c:val>
          <c:extLst>
            <c:ext xmlns:c16="http://schemas.microsoft.com/office/drawing/2014/chart" uri="{C3380CC4-5D6E-409C-BE32-E72D297353CC}">
              <c16:uniqueId val="{00000003-DA54-4C34-A4EF-DEB91A9C44A4}"/>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2019</a:t>
            </a:r>
            <a:endParaRPr lang="nl-NL"/>
          </a:p>
        </c:rich>
      </c:tx>
      <c:overlay val="0"/>
    </c:title>
    <c:autoTitleDeleted val="0"/>
    <c:plotArea>
      <c:layout/>
      <c:pieChart>
        <c:varyColors val="1"/>
        <c:ser>
          <c:idx val="0"/>
          <c:order val="0"/>
          <c:dLbls>
            <c:dLbl>
              <c:idx val="1"/>
              <c:layout>
                <c:manualLayout>
                  <c:x val="-9.3788877541546745E-2"/>
                  <c:y val="4.24906265431634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8AB-4D96-AA82-C177AB5B56A9}"/>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2019'!$F$25:$F$26</c:f>
              <c:strCache>
                <c:ptCount val="2"/>
                <c:pt idx="0">
                  <c:v>Scope 1</c:v>
                </c:pt>
                <c:pt idx="1">
                  <c:v>Scope 2</c:v>
                </c:pt>
              </c:strCache>
            </c:strRef>
          </c:cat>
          <c:val>
            <c:numRef>
              <c:f>'Footprint 2019'!$G$25:$G$26</c:f>
              <c:numCache>
                <c:formatCode>0.00</c:formatCode>
                <c:ptCount val="2"/>
                <c:pt idx="0">
                  <c:v>446.91735416</c:v>
                </c:pt>
                <c:pt idx="1">
                  <c:v>17.287831831395348</c:v>
                </c:pt>
              </c:numCache>
            </c:numRef>
          </c:val>
          <c:extLst>
            <c:ext xmlns:c16="http://schemas.microsoft.com/office/drawing/2014/chart" uri="{C3380CC4-5D6E-409C-BE32-E72D297353CC}">
              <c16:uniqueId val="{00000001-A8AB-4D96-AA82-C177AB5B56A9}"/>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2020</a:t>
            </a:r>
            <a:endParaRPr lang="nl-NL" baseline="0"/>
          </a:p>
        </c:rich>
      </c:tx>
      <c:overlay val="0"/>
    </c:title>
    <c:autoTitleDeleted val="0"/>
    <c:plotArea>
      <c:layout/>
      <c:pieChart>
        <c:varyColors val="1"/>
        <c:ser>
          <c:idx val="0"/>
          <c:order val="0"/>
          <c:dLbls>
            <c:dLbl>
              <c:idx val="0"/>
              <c:layout>
                <c:manualLayout>
                  <c:x val="-3.5668799449083764E-2"/>
                  <c:y val="-0.206544477394010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5F5-054E-A922-EE76F4DFDE81}"/>
                </c:ext>
              </c:extLst>
            </c:dLbl>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5F5-054E-A922-EE76F4DFDE81}"/>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5-054E-A922-EE76F4DFDE81}"/>
                </c:ext>
              </c:extLst>
            </c:dLbl>
            <c:dLbl>
              <c:idx val="3"/>
              <c:layout>
                <c:manualLayout>
                  <c:x val="8.6522038541434129E-2"/>
                  <c:y val="-2.0996132534312354E-3"/>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15F5-054E-A922-EE76F4DFDE81}"/>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2020'!$D$28:$D$31</c:f>
              <c:strCache>
                <c:ptCount val="4"/>
                <c:pt idx="0">
                  <c:v>Wagenpark incl. groot materieel</c:v>
                </c:pt>
                <c:pt idx="1">
                  <c:v>Brandstoffen materieel</c:v>
                </c:pt>
                <c:pt idx="2">
                  <c:v>Elektriciteit </c:v>
                </c:pt>
                <c:pt idx="3">
                  <c:v>Brandstoffen voor verwarming</c:v>
                </c:pt>
              </c:strCache>
            </c:strRef>
          </c:cat>
          <c:val>
            <c:numRef>
              <c:f>'Footprint 2020'!$G$28:$G$31</c:f>
              <c:numCache>
                <c:formatCode>0.00</c:formatCode>
                <c:ptCount val="4"/>
                <c:pt idx="0">
                  <c:v>414.83180200000004</c:v>
                </c:pt>
                <c:pt idx="1">
                  <c:v>13.45026144</c:v>
                </c:pt>
                <c:pt idx="2">
                  <c:v>15.643774857142859</c:v>
                </c:pt>
                <c:pt idx="3">
                  <c:v>9.647964</c:v>
                </c:pt>
              </c:numCache>
            </c:numRef>
          </c:val>
          <c:extLst>
            <c:ext xmlns:c16="http://schemas.microsoft.com/office/drawing/2014/chart" uri="{C3380CC4-5D6E-409C-BE32-E72D297353CC}">
              <c16:uniqueId val="{00000003-15F5-054E-A922-EE76F4DFDE81}"/>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2020</a:t>
            </a:r>
            <a:endParaRPr lang="nl-NL"/>
          </a:p>
        </c:rich>
      </c:tx>
      <c:overlay val="0"/>
    </c:title>
    <c:autoTitleDeleted val="0"/>
    <c:plotArea>
      <c:layout/>
      <c:pieChart>
        <c:varyColors val="1"/>
        <c:ser>
          <c:idx val="0"/>
          <c:order val="0"/>
          <c:dLbls>
            <c:dLbl>
              <c:idx val="0"/>
              <c:layout>
                <c:manualLayout>
                  <c:x val="4.0800128888423395E-2"/>
                  <c:y val="-0.172200366892379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F85-204B-8F92-625014134B62}"/>
                </c:ext>
              </c:extLst>
            </c:dLbl>
            <c:dLbl>
              <c:idx val="1"/>
              <c:layout>
                <c:manualLayout>
                  <c:x val="-5.9875556209624051E-2"/>
                  <c:y val="-2.83973008330816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F85-204B-8F92-625014134B62}"/>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2020'!$F$25:$F$26</c:f>
              <c:strCache>
                <c:ptCount val="2"/>
                <c:pt idx="0">
                  <c:v>Scope 1</c:v>
                </c:pt>
                <c:pt idx="1">
                  <c:v>Scope 2</c:v>
                </c:pt>
              </c:strCache>
            </c:strRef>
          </c:cat>
          <c:val>
            <c:numRef>
              <c:f>'Footprint 2020'!$G$25:$G$26</c:f>
              <c:numCache>
                <c:formatCode>0.00</c:formatCode>
                <c:ptCount val="2"/>
                <c:pt idx="0">
                  <c:v>437.93002744000006</c:v>
                </c:pt>
                <c:pt idx="1">
                  <c:v>15.643774857142859</c:v>
                </c:pt>
              </c:numCache>
            </c:numRef>
          </c:val>
          <c:extLst>
            <c:ext xmlns:c16="http://schemas.microsoft.com/office/drawing/2014/chart" uri="{C3380CC4-5D6E-409C-BE32-E72D297353CC}">
              <c16:uniqueId val="{00000001-4F85-204B-8F92-625014134B6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2021</a:t>
            </a:r>
            <a:endParaRPr lang="nl-NL" baseline="0"/>
          </a:p>
        </c:rich>
      </c:tx>
      <c:overlay val="0"/>
    </c:title>
    <c:autoTitleDeleted val="0"/>
    <c:plotArea>
      <c:layout/>
      <c:pieChart>
        <c:varyColors val="1"/>
        <c:ser>
          <c:idx val="0"/>
          <c:order val="0"/>
          <c:dLbls>
            <c:dLbl>
              <c:idx val="0"/>
              <c:layout>
                <c:manualLayout>
                  <c:x val="-3.5668799449083764E-2"/>
                  <c:y val="-0.206544477394010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1CD-EF41-AF94-2E37AD19AB86}"/>
                </c:ext>
              </c:extLst>
            </c:dLbl>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1CD-EF41-AF94-2E37AD19AB86}"/>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1CD-EF41-AF94-2E37AD19AB86}"/>
                </c:ext>
              </c:extLst>
            </c:dLbl>
            <c:dLbl>
              <c:idx val="3"/>
              <c:layout>
                <c:manualLayout>
                  <c:x val="8.6522038541434129E-2"/>
                  <c:y val="-2.0996132534312354E-3"/>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D1CD-EF41-AF94-2E37AD19AB86}"/>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2021'!$D$28:$D$31</c:f>
              <c:strCache>
                <c:ptCount val="4"/>
                <c:pt idx="0">
                  <c:v>Wagenpark incl. groot materieel</c:v>
                </c:pt>
                <c:pt idx="1">
                  <c:v>Brandstoffen materieel</c:v>
                </c:pt>
                <c:pt idx="2">
                  <c:v>Elektriciteit </c:v>
                </c:pt>
                <c:pt idx="3">
                  <c:v>Brandstoffen voor verwarming</c:v>
                </c:pt>
              </c:strCache>
            </c:strRef>
          </c:cat>
          <c:val>
            <c:numRef>
              <c:f>'Footprint 2021'!$G$28:$G$31</c:f>
              <c:numCache>
                <c:formatCode>0.00</c:formatCode>
                <c:ptCount val="4"/>
                <c:pt idx="0">
                  <c:v>414.08457565999998</c:v>
                </c:pt>
                <c:pt idx="1">
                  <c:v>11.081976399999999</c:v>
                </c:pt>
                <c:pt idx="2">
                  <c:v>14.193568000000001</c:v>
                </c:pt>
                <c:pt idx="3">
                  <c:v>23.236778440111419</c:v>
                </c:pt>
              </c:numCache>
            </c:numRef>
          </c:val>
          <c:extLst>
            <c:ext xmlns:c16="http://schemas.microsoft.com/office/drawing/2014/chart" uri="{C3380CC4-5D6E-409C-BE32-E72D297353CC}">
              <c16:uniqueId val="{00000004-D1CD-EF41-AF94-2E37AD19AB86}"/>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2021</a:t>
            </a:r>
            <a:endParaRPr lang="nl-NL"/>
          </a:p>
        </c:rich>
      </c:tx>
      <c:overlay val="0"/>
    </c:title>
    <c:autoTitleDeleted val="0"/>
    <c:plotArea>
      <c:layout/>
      <c:pieChart>
        <c:varyColors val="1"/>
        <c:ser>
          <c:idx val="0"/>
          <c:order val="0"/>
          <c:dLbls>
            <c:dLbl>
              <c:idx val="0"/>
              <c:layout>
                <c:manualLayout>
                  <c:x val="4.0800128888423395E-2"/>
                  <c:y val="-0.172200366892379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0CF-0544-85F8-33FEA9E8867F}"/>
                </c:ext>
              </c:extLst>
            </c:dLbl>
            <c:dLbl>
              <c:idx val="1"/>
              <c:layout>
                <c:manualLayout>
                  <c:x val="-8.2131653262669177E-2"/>
                  <c:y val="1.56020686247733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CF-0544-85F8-33FEA9E8867F}"/>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2021'!$F$25:$F$26</c:f>
              <c:strCache>
                <c:ptCount val="2"/>
                <c:pt idx="0">
                  <c:v>Scope 1</c:v>
                </c:pt>
                <c:pt idx="1">
                  <c:v>Scope 2</c:v>
                </c:pt>
              </c:strCache>
            </c:strRef>
          </c:cat>
          <c:val>
            <c:numRef>
              <c:f>'Footprint 2021'!$G$25:$G$26</c:f>
              <c:numCache>
                <c:formatCode>0.00</c:formatCode>
                <c:ptCount val="2"/>
                <c:pt idx="0">
                  <c:v>448.40333050011139</c:v>
                </c:pt>
                <c:pt idx="1">
                  <c:v>14.193568000000001</c:v>
                </c:pt>
              </c:numCache>
            </c:numRef>
          </c:val>
          <c:extLst>
            <c:ext xmlns:c16="http://schemas.microsoft.com/office/drawing/2014/chart" uri="{C3380CC4-5D6E-409C-BE32-E72D297353CC}">
              <c16:uniqueId val="{00000002-D0CF-0544-85F8-33FEA9E8867F}"/>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2022</a:t>
            </a:r>
            <a:endParaRPr lang="nl-NL" baseline="0"/>
          </a:p>
        </c:rich>
      </c:tx>
      <c:overlay val="0"/>
    </c:title>
    <c:autoTitleDeleted val="0"/>
    <c:plotArea>
      <c:layout/>
      <c:pieChart>
        <c:varyColors val="1"/>
        <c:ser>
          <c:idx val="0"/>
          <c:order val="0"/>
          <c:dLbls>
            <c:dLbl>
              <c:idx val="0"/>
              <c:layout>
                <c:manualLayout>
                  <c:x val="-3.5668799449083764E-2"/>
                  <c:y val="-0.206544477394010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A6-A345-B9F0-75D14A9AA236}"/>
                </c:ext>
              </c:extLst>
            </c:dLbl>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A6-A345-B9F0-75D14A9AA236}"/>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A6-A345-B9F0-75D14A9AA236}"/>
                </c:ext>
              </c:extLst>
            </c:dLbl>
            <c:dLbl>
              <c:idx val="3"/>
              <c:layout>
                <c:manualLayout>
                  <c:x val="8.6522038541434129E-2"/>
                  <c:y val="-2.0996132534312354E-3"/>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7CA6-A345-B9F0-75D14A9AA236}"/>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2022'!$D$33:$D$36</c:f>
              <c:strCache>
                <c:ptCount val="4"/>
                <c:pt idx="0">
                  <c:v>Wagenpark incl. groot materieel</c:v>
                </c:pt>
                <c:pt idx="1">
                  <c:v>Brandstoffen materieel</c:v>
                </c:pt>
                <c:pt idx="2">
                  <c:v>Elektriciteit </c:v>
                </c:pt>
                <c:pt idx="3">
                  <c:v>Brandstoffen voor verwarming</c:v>
                </c:pt>
              </c:strCache>
            </c:strRef>
          </c:cat>
          <c:val>
            <c:numRef>
              <c:f>'Footprint 2022'!$G$33:$G$36</c:f>
              <c:numCache>
                <c:formatCode>0.00</c:formatCode>
                <c:ptCount val="4"/>
                <c:pt idx="0">
                  <c:v>363.52380399999998</c:v>
                </c:pt>
                <c:pt idx="1">
                  <c:v>9.1284530000000004</c:v>
                </c:pt>
                <c:pt idx="2">
                  <c:v>0</c:v>
                </c:pt>
                <c:pt idx="3">
                  <c:v>13.298129999999999</c:v>
                </c:pt>
              </c:numCache>
            </c:numRef>
          </c:val>
          <c:extLst>
            <c:ext xmlns:c16="http://schemas.microsoft.com/office/drawing/2014/chart" uri="{C3380CC4-5D6E-409C-BE32-E72D297353CC}">
              <c16:uniqueId val="{00000004-7CA6-A345-B9F0-75D14A9AA236}"/>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2022</a:t>
            </a:r>
            <a:endParaRPr lang="nl-NL"/>
          </a:p>
        </c:rich>
      </c:tx>
      <c:overlay val="0"/>
    </c:title>
    <c:autoTitleDeleted val="0"/>
    <c:plotArea>
      <c:layout/>
      <c:pieChart>
        <c:varyColors val="1"/>
        <c:ser>
          <c:idx val="0"/>
          <c:order val="0"/>
          <c:dLbls>
            <c:dLbl>
              <c:idx val="0"/>
              <c:layout>
                <c:manualLayout>
                  <c:x val="4.0800128888423395E-2"/>
                  <c:y val="-0.172200366892379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594-2A47-B16E-8E8312F8D2F1}"/>
                </c:ext>
              </c:extLst>
            </c:dLbl>
            <c:dLbl>
              <c:idx val="1"/>
              <c:layout>
                <c:manualLayout>
                  <c:x val="-8.2131653262669177E-2"/>
                  <c:y val="1.56020686247733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94-2A47-B16E-8E8312F8D2F1}"/>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2022'!$F$29:$F$30</c:f>
              <c:strCache>
                <c:ptCount val="2"/>
                <c:pt idx="0">
                  <c:v>Scope 1</c:v>
                </c:pt>
                <c:pt idx="1">
                  <c:v>Scope 2</c:v>
                </c:pt>
              </c:strCache>
            </c:strRef>
          </c:cat>
          <c:val>
            <c:numRef>
              <c:f>'Footprint 2022'!$G$29:$G$30</c:f>
              <c:numCache>
                <c:formatCode>0.00</c:formatCode>
                <c:ptCount val="2"/>
                <c:pt idx="0">
                  <c:v>385.95038699999998</c:v>
                </c:pt>
                <c:pt idx="1">
                  <c:v>0</c:v>
                </c:pt>
              </c:numCache>
            </c:numRef>
          </c:val>
          <c:extLst>
            <c:ext xmlns:c16="http://schemas.microsoft.com/office/drawing/2014/chart" uri="{C3380CC4-5D6E-409C-BE32-E72D297353CC}">
              <c16:uniqueId val="{00000002-E594-2A47-B16E-8E8312F8D2F1}"/>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2023</a:t>
            </a:r>
            <a:endParaRPr lang="nl-NL" baseline="0"/>
          </a:p>
        </c:rich>
      </c:tx>
      <c:overlay val="0"/>
    </c:title>
    <c:autoTitleDeleted val="0"/>
    <c:plotArea>
      <c:layout/>
      <c:pieChart>
        <c:varyColors val="1"/>
        <c:ser>
          <c:idx val="0"/>
          <c:order val="0"/>
          <c:dLbls>
            <c:dLbl>
              <c:idx val="0"/>
              <c:layout>
                <c:manualLayout>
                  <c:x val="-3.5668799449083764E-2"/>
                  <c:y val="-0.206544477394010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F-6540-A91C-E77AEDDBB6CE}"/>
                </c:ext>
              </c:extLst>
            </c:dLbl>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F-6540-A91C-E77AEDDBB6CE}"/>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F-6540-A91C-E77AEDDBB6CE}"/>
                </c:ext>
              </c:extLst>
            </c:dLbl>
            <c:dLbl>
              <c:idx val="3"/>
              <c:layout>
                <c:manualLayout>
                  <c:x val="8.6522038541434129E-2"/>
                  <c:y val="-2.0996132534312354E-3"/>
                </c:manualLayout>
              </c:layout>
              <c:tx>
                <c:rich>
                  <a:bodyPr/>
                  <a:lstStyle/>
                  <a:p>
                    <a:r>
                      <a:rPr lang="en-US"/>
                      <a:t>Aardgas
9%</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B14F-6540-A91C-E77AEDDBB6CE}"/>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2023'!$D$33:$D$36</c:f>
              <c:strCache>
                <c:ptCount val="4"/>
                <c:pt idx="0">
                  <c:v>Wagenpark incl. groot materieel</c:v>
                </c:pt>
                <c:pt idx="1">
                  <c:v>Brandstoffen materieel</c:v>
                </c:pt>
                <c:pt idx="2">
                  <c:v>Elektriciteit </c:v>
                </c:pt>
                <c:pt idx="3">
                  <c:v>Brandstoffen voor verwarming</c:v>
                </c:pt>
              </c:strCache>
            </c:strRef>
          </c:cat>
          <c:val>
            <c:numRef>
              <c:f>'Footprint 2023'!$G$33:$G$36</c:f>
              <c:numCache>
                <c:formatCode>0.00</c:formatCode>
                <c:ptCount val="4"/>
                <c:pt idx="0">
                  <c:v>390.64511199999998</c:v>
                </c:pt>
                <c:pt idx="1">
                  <c:v>9.5660644000000019</c:v>
                </c:pt>
                <c:pt idx="2">
                  <c:v>0</c:v>
                </c:pt>
                <c:pt idx="3">
                  <c:v>14.120568</c:v>
                </c:pt>
              </c:numCache>
            </c:numRef>
          </c:val>
          <c:extLst>
            <c:ext xmlns:c16="http://schemas.microsoft.com/office/drawing/2014/chart" uri="{C3380CC4-5D6E-409C-BE32-E72D297353CC}">
              <c16:uniqueId val="{00000004-B14F-6540-A91C-E77AEDDBB6CE}"/>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2013'!$A$9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2013'!$G$11:$G$19</c:f>
              <c:numCache>
                <c:formatCode>General</c:formatCode>
                <c:ptCount val="9"/>
                <c:pt idx="0" formatCode="0.00">
                  <c:v>351.72648949999996</c:v>
                </c:pt>
                <c:pt idx="2" formatCode="0.00">
                  <c:v>5.4992700000000001</c:v>
                </c:pt>
                <c:pt idx="3" formatCode="0.00">
                  <c:v>0.79695000000000005</c:v>
                </c:pt>
                <c:pt idx="4" formatCode="0.00">
                  <c:v>6.1550264000000006</c:v>
                </c:pt>
                <c:pt idx="6" formatCode="0.00">
                  <c:v>22.724778000000001</c:v>
                </c:pt>
                <c:pt idx="8" formatCode="0.00">
                  <c:v>23.124216000000001</c:v>
                </c:pt>
              </c:numCache>
            </c:numRef>
          </c:val>
          <c:extLst>
            <c:ext xmlns:c16="http://schemas.microsoft.com/office/drawing/2014/chart" uri="{C3380CC4-5D6E-409C-BE32-E72D297353CC}">
              <c16:uniqueId val="{00000000-1BAC-4D72-AFD3-1024AD8647A8}"/>
            </c:ext>
          </c:extLst>
        </c:ser>
        <c:ser>
          <c:idx val="1"/>
          <c:order val="1"/>
          <c:tx>
            <c:strRef>
              <c:f>'Footprint 2013'!$A$13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2013'!#REF!</c:f>
              <c:numCache>
                <c:formatCode>General</c:formatCode>
                <c:ptCount val="1"/>
                <c:pt idx="0">
                  <c:v>1</c:v>
                </c:pt>
              </c:numCache>
            </c:numRef>
          </c:val>
          <c:extLst>
            <c:ext xmlns:c16="http://schemas.microsoft.com/office/drawing/2014/chart" uri="{C3380CC4-5D6E-409C-BE32-E72D297353CC}">
              <c16:uniqueId val="{00000001-1BAC-4D72-AFD3-1024AD8647A8}"/>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2013'!$A$17</c:f>
              <c:numCache>
                <c:formatCode>General</c:formatCode>
                <c:ptCount val="1"/>
                <c:pt idx="0">
                  <c:v>0</c:v>
                </c:pt>
              </c:numCache>
            </c:numRef>
          </c:val>
          <c:extLst>
            <c:ext xmlns:c16="http://schemas.microsoft.com/office/drawing/2014/chart" uri="{C3380CC4-5D6E-409C-BE32-E72D297353CC}">
              <c16:uniqueId val="{00000002-1BAC-4D72-AFD3-1024AD8647A8}"/>
            </c:ext>
          </c:extLst>
        </c:ser>
        <c:ser>
          <c:idx val="3"/>
          <c:order val="3"/>
          <c:tx>
            <c:strRef>
              <c:f>'Footprint 2013'!$A$19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1BAC-4D72-AFD3-1024AD8647A8}"/>
            </c:ext>
          </c:extLst>
        </c:ser>
        <c:ser>
          <c:idx val="4"/>
          <c:order val="4"/>
          <c:tx>
            <c:strRef>
              <c:f>'Footprint 2013'!$G$11</c:f>
              <c:strCache>
                <c:ptCount val="1"/>
                <c:pt idx="0">
                  <c:v>351,73</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2013'!#REF!</c:f>
              <c:numCache>
                <c:formatCode>General</c:formatCode>
                <c:ptCount val="1"/>
                <c:pt idx="0">
                  <c:v>1</c:v>
                </c:pt>
              </c:numCache>
            </c:numRef>
          </c:val>
          <c:extLst>
            <c:ext xmlns:c16="http://schemas.microsoft.com/office/drawing/2014/chart" uri="{C3380CC4-5D6E-409C-BE32-E72D297353CC}">
              <c16:uniqueId val="{00000004-1BAC-4D72-AFD3-1024AD8647A8}"/>
            </c:ext>
          </c:extLst>
        </c:ser>
        <c:ser>
          <c:idx val="5"/>
          <c:order val="5"/>
          <c:tx>
            <c:strRef>
              <c:f>'Footprint 2013'!$G$13</c:f>
              <c:strCache>
                <c:ptCount val="1"/>
                <c:pt idx="0">
                  <c:v>5,50</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2013'!#REF!</c:f>
              <c:numCache>
                <c:formatCode>General</c:formatCode>
                <c:ptCount val="1"/>
                <c:pt idx="0">
                  <c:v>1</c:v>
                </c:pt>
              </c:numCache>
            </c:numRef>
          </c:val>
          <c:extLst>
            <c:ext xmlns:c16="http://schemas.microsoft.com/office/drawing/2014/chart" uri="{C3380CC4-5D6E-409C-BE32-E72D297353CC}">
              <c16:uniqueId val="{00000005-1BAC-4D72-AFD3-1024AD8647A8}"/>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2013'!$G$17</c:f>
              <c:numCache>
                <c:formatCode>0.00</c:formatCode>
                <c:ptCount val="1"/>
                <c:pt idx="0">
                  <c:v>22.724778000000001</c:v>
                </c:pt>
              </c:numCache>
            </c:numRef>
          </c:val>
          <c:extLst>
            <c:ext xmlns:c16="http://schemas.microsoft.com/office/drawing/2014/chart" uri="{C3380CC4-5D6E-409C-BE32-E72D297353CC}">
              <c16:uniqueId val="{00000006-1BAC-4D72-AFD3-1024AD8647A8}"/>
            </c:ext>
          </c:extLst>
        </c:ser>
        <c:ser>
          <c:idx val="7"/>
          <c:order val="7"/>
          <c:tx>
            <c:strRef>
              <c:f>'Footprint 2013'!$G$19</c:f>
              <c:strCache>
                <c:ptCount val="1"/>
                <c:pt idx="0">
                  <c:v>23,12</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2013'!$A$11:$A$19</c:f>
              <c:strCache>
                <c:ptCount val="9"/>
                <c:pt idx="0">
                  <c:v>Dieselverbruik wagenpark</c:v>
                </c:pt>
                <c:pt idx="1">
                  <c:v>Brandstoffen materieel</c:v>
                </c:pt>
                <c:pt idx="2">
                  <c:v>LPG verbruik materieel</c:v>
                </c:pt>
                <c:pt idx="3">
                  <c:v>Propaan materieel</c:v>
                </c:pt>
                <c:pt idx="4">
                  <c:v>Benzineverbruik materieel</c:v>
                </c:pt>
                <c:pt idx="5">
                  <c:v>Elektriciteit </c:v>
                </c:pt>
                <c:pt idx="6">
                  <c:v>Grijze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1BAC-4D72-AFD3-1024AD8647A8}"/>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2023</a:t>
            </a:r>
            <a:endParaRPr lang="nl-NL"/>
          </a:p>
        </c:rich>
      </c:tx>
      <c:overlay val="0"/>
    </c:title>
    <c:autoTitleDeleted val="0"/>
    <c:plotArea>
      <c:layout/>
      <c:pieChart>
        <c:varyColors val="1"/>
        <c:ser>
          <c:idx val="0"/>
          <c:order val="0"/>
          <c:dLbls>
            <c:dLbl>
              <c:idx val="0"/>
              <c:layout>
                <c:manualLayout>
                  <c:x val="4.0800128888423395E-2"/>
                  <c:y val="-0.172200366892379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DEE-9B4A-AF08-46CA98822AB0}"/>
                </c:ext>
              </c:extLst>
            </c:dLbl>
            <c:dLbl>
              <c:idx val="1"/>
              <c:layout>
                <c:manualLayout>
                  <c:x val="-8.2131653262669177E-2"/>
                  <c:y val="1.56020686247733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DEE-9B4A-AF08-46CA98822AB0}"/>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2023'!$F$29:$F$31</c:f>
              <c:strCache>
                <c:ptCount val="3"/>
                <c:pt idx="0">
                  <c:v>Scope 1</c:v>
                </c:pt>
                <c:pt idx="1">
                  <c:v>Scope 2</c:v>
                </c:pt>
                <c:pt idx="2">
                  <c:v>Scope 3, BT</c:v>
                </c:pt>
              </c:strCache>
            </c:strRef>
          </c:cat>
          <c:val>
            <c:numRef>
              <c:f>'Footprint 2023'!$G$29:$G$31</c:f>
              <c:numCache>
                <c:formatCode>0.00</c:formatCode>
                <c:ptCount val="3"/>
                <c:pt idx="0">
                  <c:v>414.33174439999999</c:v>
                </c:pt>
                <c:pt idx="1">
                  <c:v>0</c:v>
                </c:pt>
                <c:pt idx="2">
                  <c:v>13.220499999999999</c:v>
                </c:pt>
              </c:numCache>
            </c:numRef>
          </c:val>
          <c:extLst>
            <c:ext xmlns:c16="http://schemas.microsoft.com/office/drawing/2014/chart" uri="{C3380CC4-5D6E-409C-BE32-E72D297353CC}">
              <c16:uniqueId val="{00000002-1DEE-9B4A-AF08-46CA98822AB0}"/>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2024</a:t>
            </a:r>
            <a:endParaRPr lang="nl-NL" baseline="0"/>
          </a:p>
        </c:rich>
      </c:tx>
      <c:overlay val="0"/>
    </c:title>
    <c:autoTitleDeleted val="0"/>
    <c:plotArea>
      <c:layout/>
      <c:pieChart>
        <c:varyColors val="1"/>
        <c:ser>
          <c:idx val="0"/>
          <c:order val="0"/>
          <c:dLbls>
            <c:dLbl>
              <c:idx val="0"/>
              <c:layout>
                <c:manualLayout>
                  <c:x val="-3.5668799449083764E-2"/>
                  <c:y val="-0.206544477394010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B97-C841-B054-7FDEF8A8C168}"/>
                </c:ext>
              </c:extLst>
            </c:dLbl>
            <c:dLbl>
              <c:idx val="1"/>
              <c:layout>
                <c:manualLayout>
                  <c:x val="-8.2820598129460091E-2"/>
                  <c:y val="6.6792093759538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B97-C841-B054-7FDEF8A8C168}"/>
                </c:ext>
              </c:extLst>
            </c:dLbl>
            <c:dLbl>
              <c:idx val="2"/>
              <c:layout>
                <c:manualLayout>
                  <c:x val="1.8662526339137359E-2"/>
                  <c:y val="-4.788021403087187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B97-C841-B054-7FDEF8A8C168}"/>
                </c:ext>
              </c:extLst>
            </c:dLbl>
            <c:dLbl>
              <c:idx val="3"/>
              <c:layout>
                <c:manualLayout>
                  <c:x val="8.6522038541434129E-2"/>
                  <c:y val="-2.0996132534312354E-3"/>
                </c:manualLayout>
              </c:layout>
              <c:tx>
                <c:rich>
                  <a:bodyPr/>
                  <a:lstStyle/>
                  <a:p>
                    <a:r>
                      <a:rPr lang="en-US"/>
                      <a:t>Aardgas
4%</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CB97-C841-B054-7FDEF8A8C168}"/>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2024'!$E$34:$E$37</c:f>
              <c:strCache>
                <c:ptCount val="4"/>
                <c:pt idx="0">
                  <c:v>Wagenpark incl. groot materieel</c:v>
                </c:pt>
                <c:pt idx="1">
                  <c:v>Brandstoffen materieel</c:v>
                </c:pt>
                <c:pt idx="2">
                  <c:v>Elektriciteit </c:v>
                </c:pt>
                <c:pt idx="3">
                  <c:v>Brandstoffen voor verwarming</c:v>
                </c:pt>
              </c:strCache>
            </c:strRef>
          </c:cat>
          <c:val>
            <c:numRef>
              <c:f>'Footprint 2024'!$H$34:$H$37</c:f>
              <c:numCache>
                <c:formatCode>0.00</c:formatCode>
                <c:ptCount val="4"/>
                <c:pt idx="0">
                  <c:v>349.66334563999999</c:v>
                </c:pt>
                <c:pt idx="1">
                  <c:v>8.1906976200000017</c:v>
                </c:pt>
                <c:pt idx="2">
                  <c:v>13.235709032000001</c:v>
                </c:pt>
                <c:pt idx="3">
                  <c:v>15.769215000000003</c:v>
                </c:pt>
              </c:numCache>
            </c:numRef>
          </c:val>
          <c:extLst>
            <c:ext xmlns:c16="http://schemas.microsoft.com/office/drawing/2014/chart" uri="{C3380CC4-5D6E-409C-BE32-E72D297353CC}">
              <c16:uniqueId val="{00000004-CB97-C841-B054-7FDEF8A8C168}"/>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2024</a:t>
            </a:r>
            <a:endParaRPr lang="nl-NL"/>
          </a:p>
        </c:rich>
      </c:tx>
      <c:overlay val="0"/>
    </c:title>
    <c:autoTitleDeleted val="0"/>
    <c:plotArea>
      <c:layout/>
      <c:pieChart>
        <c:varyColors val="1"/>
        <c:ser>
          <c:idx val="0"/>
          <c:order val="0"/>
          <c:dLbls>
            <c:dLbl>
              <c:idx val="0"/>
              <c:layout>
                <c:manualLayout>
                  <c:x val="4.0800128888423395E-2"/>
                  <c:y val="-0.172200366892379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78-BA44-A7EA-CA3E9E37997B}"/>
                </c:ext>
              </c:extLst>
            </c:dLbl>
            <c:dLbl>
              <c:idx val="1"/>
              <c:layout>
                <c:manualLayout>
                  <c:x val="-8.2131653262669177E-2"/>
                  <c:y val="1.56020686247733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78-BA44-A7EA-CA3E9E37997B}"/>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2024'!$G$30:$G$32</c:f>
              <c:strCache>
                <c:ptCount val="3"/>
                <c:pt idx="0">
                  <c:v>Scope 1</c:v>
                </c:pt>
                <c:pt idx="1">
                  <c:v>Scope 2</c:v>
                </c:pt>
                <c:pt idx="2">
                  <c:v>Scope 3, BT</c:v>
                </c:pt>
              </c:strCache>
            </c:strRef>
          </c:cat>
          <c:val>
            <c:numRef>
              <c:f>'Footprint 2024'!$H$30:$H$32</c:f>
              <c:numCache>
                <c:formatCode>0.00</c:formatCode>
                <c:ptCount val="3"/>
                <c:pt idx="0">
                  <c:v>362.26462925999994</c:v>
                </c:pt>
                <c:pt idx="1">
                  <c:v>13.235709032000001</c:v>
                </c:pt>
                <c:pt idx="2">
                  <c:v>11.358629000000001</c:v>
                </c:pt>
              </c:numCache>
            </c:numRef>
          </c:val>
          <c:extLst>
            <c:ext xmlns:c16="http://schemas.microsoft.com/office/drawing/2014/chart" uri="{C3380CC4-5D6E-409C-BE32-E72D297353CC}">
              <c16:uniqueId val="{00000002-A478-BA44-A7EA-CA3E9E37997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EE2E24"/>
            </a:solidFill>
            <a:ln>
              <a:solidFill>
                <a:srgbClr val="EE2E24"/>
              </a:solidFill>
            </a:ln>
            <a:effectLst/>
          </c:spPr>
          <c:invertIfNegative val="0"/>
          <c:cat>
            <c:strRef>
              <c:f>('Footprint 2024'!$B$13,'Footprint 2024'!$B$15,'Footprint 2024'!$B$17,'Footprint 2024'!$B$18,'Footprint 2024'!$B$19,'Footprint 2024'!$B$22,'Footprint 2024'!$B$23,'Footprint 2024'!$B$25)</c:f>
              <c:strCache>
                <c:ptCount val="8"/>
                <c:pt idx="0">
                  <c:v>Aardgas</c:v>
                </c:pt>
                <c:pt idx="1">
                  <c:v>Dieselverbruik wagenpark</c:v>
                </c:pt>
                <c:pt idx="2">
                  <c:v>LPG verbruik materieel</c:v>
                </c:pt>
                <c:pt idx="3">
                  <c:v>Propaan materieel</c:v>
                </c:pt>
                <c:pt idx="4">
                  <c:v>Benzineverbruik materieel</c:v>
                </c:pt>
                <c:pt idx="5">
                  <c:v>Laden EV's - externe locaties</c:v>
                </c:pt>
                <c:pt idx="6">
                  <c:v>Groene stroom</c:v>
                </c:pt>
                <c:pt idx="7">
                  <c:v>Zakelijke kilometers</c:v>
                </c:pt>
              </c:strCache>
            </c:strRef>
          </c:cat>
          <c:val>
            <c:numRef>
              <c:f>('Footprint 2024'!$H$13,'Footprint 2024'!$H$15,'Footprint 2024'!$H$17,'Footprint 2024'!$H$18,'Footprint 2024'!$H$19,'Footprint 2024'!$H$22,'Footprint 2024'!$H$23,'Footprint 2024'!$H$25)</c:f>
              <c:numCache>
                <c:formatCode>0.00</c:formatCode>
                <c:ptCount val="8"/>
                <c:pt idx="0">
                  <c:v>15.769215000000003</c:v>
                </c:pt>
                <c:pt idx="1">
                  <c:v>338.30471663999998</c:v>
                </c:pt>
                <c:pt idx="2">
                  <c:v>0.32796399999999998</c:v>
                </c:pt>
                <c:pt idx="3">
                  <c:v>2.2821750000000001</c:v>
                </c:pt>
                <c:pt idx="4">
                  <c:v>5.5805586200000006</c:v>
                </c:pt>
                <c:pt idx="5">
                  <c:v>13.235709032000001</c:v>
                </c:pt>
                <c:pt idx="6">
                  <c:v>0</c:v>
                </c:pt>
                <c:pt idx="7">
                  <c:v>11.358629000000001</c:v>
                </c:pt>
              </c:numCache>
            </c:numRef>
          </c:val>
          <c:extLst>
            <c:ext xmlns:c16="http://schemas.microsoft.com/office/drawing/2014/chart" uri="{C3380CC4-5D6E-409C-BE32-E72D297353CC}">
              <c16:uniqueId val="{00000000-6D42-8243-A1DA-C181ABDD1D21}"/>
            </c:ext>
          </c:extLst>
        </c:ser>
        <c:dLbls>
          <c:showLegendKey val="0"/>
          <c:showVal val="0"/>
          <c:showCatName val="0"/>
          <c:showSerName val="0"/>
          <c:showPercent val="0"/>
          <c:showBubbleSize val="0"/>
        </c:dLbls>
        <c:gapWidth val="219"/>
        <c:overlap val="-27"/>
        <c:axId val="1162398496"/>
        <c:axId val="1163861008"/>
      </c:barChart>
      <c:catAx>
        <c:axId val="116239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63861008"/>
        <c:crosses val="autoZero"/>
        <c:auto val="1"/>
        <c:lblAlgn val="ctr"/>
        <c:lblOffset val="100"/>
        <c:noMultiLvlLbl val="0"/>
      </c:catAx>
      <c:valAx>
        <c:axId val="1163861008"/>
        <c:scaling>
          <c:orientation val="minMax"/>
          <c:max val="4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62398496"/>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r>
              <a:rPr lang="nl-NL" sz="1800">
                <a:solidFill>
                  <a:schemeClr val="tx1"/>
                </a:solidFill>
              </a:rPr>
              <a:t>CO2 uitstoot (in ton) van 2017 t/m 2024</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endParaRPr lang="nl-NL"/>
        </a:p>
      </c:txPr>
    </c:title>
    <c:autoTitleDeleted val="0"/>
    <c:plotArea>
      <c:layout>
        <c:manualLayout>
          <c:layoutTarget val="inner"/>
          <c:xMode val="edge"/>
          <c:yMode val="edge"/>
          <c:x val="0.24345108974564983"/>
          <c:y val="0.12877707531468383"/>
          <c:w val="0.74525073552118337"/>
          <c:h val="0.59044278116181947"/>
        </c:manualLayout>
      </c:layout>
      <c:barChart>
        <c:barDir val="col"/>
        <c:grouping val="stacked"/>
        <c:varyColors val="0"/>
        <c:ser>
          <c:idx val="0"/>
          <c:order val="0"/>
          <c:tx>
            <c:strRef>
              <c:f>Trendlijn!$A$36</c:f>
              <c:strCache>
                <c:ptCount val="1"/>
                <c:pt idx="0">
                  <c:v>Wagenpark</c:v>
                </c:pt>
              </c:strCache>
            </c:strRef>
          </c:tx>
          <c:spPr>
            <a:solidFill>
              <a:srgbClr val="EE2E24"/>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Trendlijn!$M$36:$V$36</c:f>
              <c:numCache>
                <c:formatCode>0.00</c:formatCode>
                <c:ptCount val="8"/>
                <c:pt idx="0">
                  <c:v>429.73778333461541</c:v>
                </c:pt>
                <c:pt idx="1">
                  <c:v>430.80106684999998</c:v>
                </c:pt>
                <c:pt idx="2">
                  <c:v>410.67503396000001</c:v>
                </c:pt>
                <c:pt idx="3">
                  <c:v>430.27180200000004</c:v>
                </c:pt>
                <c:pt idx="4">
                  <c:v>429.52457565999998</c:v>
                </c:pt>
                <c:pt idx="5">
                  <c:v>378.96380399999998</c:v>
                </c:pt>
                <c:pt idx="6">
                  <c:v>403.865612</c:v>
                </c:pt>
                <c:pt idx="7">
                  <c:v>362.89905467199998</c:v>
                </c:pt>
              </c:numCache>
            </c:numRef>
          </c:val>
          <c:extLst>
            <c:ext xmlns:c16="http://schemas.microsoft.com/office/drawing/2014/chart" uri="{C3380CC4-5D6E-409C-BE32-E72D297353CC}">
              <c16:uniqueId val="{00000000-2F5D-E440-93ED-96EC2AD85084}"/>
            </c:ext>
          </c:extLst>
        </c:ser>
        <c:ser>
          <c:idx val="1"/>
          <c:order val="1"/>
          <c:tx>
            <c:strRef>
              <c:f>Trendlijn!$A$37</c:f>
              <c:strCache>
                <c:ptCount val="1"/>
                <c:pt idx="0">
                  <c:v>Brandstoffen materieel</c:v>
                </c:pt>
              </c:strCache>
            </c:strRef>
          </c:tx>
          <c:spPr>
            <a:solidFill>
              <a:schemeClr val="accent4">
                <a:lumMod val="40000"/>
                <a:lumOff val="60000"/>
              </a:schemeClr>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Trendlijn!$M$37:$V$37</c:f>
              <c:numCache>
                <c:formatCode>0.00</c:formatCode>
                <c:ptCount val="8"/>
                <c:pt idx="0">
                  <c:v>20.139096319999997</c:v>
                </c:pt>
                <c:pt idx="1">
                  <c:v>17.245051319999998</c:v>
                </c:pt>
                <c:pt idx="2">
                  <c:v>12.614130200000002</c:v>
                </c:pt>
                <c:pt idx="3">
                  <c:v>13.45026144</c:v>
                </c:pt>
                <c:pt idx="4">
                  <c:v>11.081976399999999</c:v>
                </c:pt>
                <c:pt idx="5">
                  <c:v>9.1284530000000004</c:v>
                </c:pt>
                <c:pt idx="6">
                  <c:v>9.5660644000000019</c:v>
                </c:pt>
                <c:pt idx="7">
                  <c:v>8.1906976200000017</c:v>
                </c:pt>
              </c:numCache>
            </c:numRef>
          </c:val>
          <c:extLst>
            <c:ext xmlns:c16="http://schemas.microsoft.com/office/drawing/2014/chart" uri="{C3380CC4-5D6E-409C-BE32-E72D297353CC}">
              <c16:uniqueId val="{00000001-2F5D-E440-93ED-96EC2AD85084}"/>
            </c:ext>
          </c:extLst>
        </c:ser>
        <c:ser>
          <c:idx val="3"/>
          <c:order val="2"/>
          <c:tx>
            <c:strRef>
              <c:f>Trendlijn!$A$39</c:f>
              <c:strCache>
                <c:ptCount val="1"/>
                <c:pt idx="0">
                  <c:v>Elektriciteit </c:v>
                </c:pt>
              </c:strCache>
            </c:strRef>
          </c:tx>
          <c:spPr>
            <a:solidFill>
              <a:schemeClr val="accent4"/>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Trendlijn!$M$39:$V$39</c:f>
              <c:numCache>
                <c:formatCode>0.00</c:formatCode>
                <c:ptCount val="8"/>
                <c:pt idx="0">
                  <c:v>15.397399560723514</c:v>
                </c:pt>
                <c:pt idx="1">
                  <c:v>21.039269166666667</c:v>
                </c:pt>
                <c:pt idx="2">
                  <c:v>17.287831831395348</c:v>
                </c:pt>
                <c:pt idx="3">
                  <c:v>15.643774857142859</c:v>
                </c:pt>
                <c:pt idx="4">
                  <c:v>14.193568000000001</c:v>
                </c:pt>
                <c:pt idx="5">
                  <c:v>0</c:v>
                </c:pt>
                <c:pt idx="6">
                  <c:v>0</c:v>
                </c:pt>
                <c:pt idx="7">
                  <c:v>0</c:v>
                </c:pt>
              </c:numCache>
            </c:numRef>
          </c:val>
          <c:extLst>
            <c:ext xmlns:c16="http://schemas.microsoft.com/office/drawing/2014/chart" uri="{C3380CC4-5D6E-409C-BE32-E72D297353CC}">
              <c16:uniqueId val="{00000002-2F5D-E440-93ED-96EC2AD85084}"/>
            </c:ext>
          </c:extLst>
        </c:ser>
        <c:ser>
          <c:idx val="4"/>
          <c:order val="3"/>
          <c:tx>
            <c:strRef>
              <c:f>Trendlijn!$A$40</c:f>
              <c:strCache>
                <c:ptCount val="1"/>
                <c:pt idx="0">
                  <c:v>Brandstoffen voor verwarming</c:v>
                </c:pt>
              </c:strCache>
            </c:strRef>
          </c:tx>
          <c:spPr>
            <a:solidFill>
              <a:schemeClr val="accent5"/>
            </a:solidFill>
            <a:ln>
              <a:noFill/>
            </a:ln>
            <a:effectLst/>
          </c:spPr>
          <c:invertIfNegative val="0"/>
          <c:dPt>
            <c:idx val="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F72D-3A48-9FA9-6F86B5E56F8D}"/>
              </c:ext>
            </c:extLst>
          </c:dPt>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Trendlijn!$M$40:$V$40</c:f>
              <c:numCache>
                <c:formatCode>0.00</c:formatCode>
                <c:ptCount val="8"/>
                <c:pt idx="0">
                  <c:v>38.93641744186047</c:v>
                </c:pt>
                <c:pt idx="1">
                  <c:v>31.021813983050844</c:v>
                </c:pt>
                <c:pt idx="2">
                  <c:v>39.068189999999994</c:v>
                </c:pt>
                <c:pt idx="3">
                  <c:v>9.647964</c:v>
                </c:pt>
                <c:pt idx="4">
                  <c:v>23.236778440111419</c:v>
                </c:pt>
                <c:pt idx="5">
                  <c:v>13.298129999999999</c:v>
                </c:pt>
                <c:pt idx="6">
                  <c:v>14.120568</c:v>
                </c:pt>
                <c:pt idx="7">
                  <c:v>15.769215000000003</c:v>
                </c:pt>
              </c:numCache>
            </c:numRef>
          </c:val>
          <c:extLst>
            <c:ext xmlns:c16="http://schemas.microsoft.com/office/drawing/2014/chart" uri="{C3380CC4-5D6E-409C-BE32-E72D297353CC}">
              <c16:uniqueId val="{00000001-FF9B-5D4B-85D4-4F9F8E1C397A}"/>
            </c:ext>
          </c:extLst>
        </c:ser>
        <c:ser>
          <c:idx val="2"/>
          <c:order val="4"/>
          <c:tx>
            <c:strRef>
              <c:f>Trendlijn!$A$38</c:f>
              <c:strCache>
                <c:ptCount val="1"/>
                <c:pt idx="0">
                  <c:v>Laden EV's - externe locaties</c:v>
                </c:pt>
              </c:strCache>
            </c:strRef>
          </c:tx>
          <c:spPr>
            <a:solidFill>
              <a:schemeClr val="accent3"/>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Trendlijn!$M$38:$V$38</c:f>
              <c:numCache>
                <c:formatCode>0.00</c:formatCode>
                <c:ptCount val="8"/>
                <c:pt idx="0">
                  <c:v>0</c:v>
                </c:pt>
                <c:pt idx="1">
                  <c:v>0</c:v>
                </c:pt>
                <c:pt idx="2">
                  <c:v>0</c:v>
                </c:pt>
                <c:pt idx="3">
                  <c:v>0</c:v>
                </c:pt>
                <c:pt idx="4">
                  <c:v>0</c:v>
                </c:pt>
                <c:pt idx="5">
                  <c:v>0</c:v>
                </c:pt>
                <c:pt idx="6">
                  <c:v>0</c:v>
                </c:pt>
                <c:pt idx="7">
                  <c:v>13.235709032000001</c:v>
                </c:pt>
              </c:numCache>
            </c:numRef>
          </c:val>
          <c:extLst>
            <c:ext xmlns:c16="http://schemas.microsoft.com/office/drawing/2014/chart" uri="{C3380CC4-5D6E-409C-BE32-E72D297353CC}">
              <c16:uniqueId val="{00000003-2F5D-E440-93ED-96EC2AD85084}"/>
            </c:ext>
          </c:extLst>
        </c:ser>
        <c:dLbls>
          <c:showLegendKey val="0"/>
          <c:showVal val="0"/>
          <c:showCatName val="0"/>
          <c:showSerName val="0"/>
          <c:showPercent val="0"/>
          <c:showBubbleSize val="0"/>
        </c:dLbls>
        <c:gapWidth val="95"/>
        <c:overlap val="100"/>
        <c:axId val="107022208"/>
        <c:axId val="107023744"/>
      </c:barChart>
      <c:catAx>
        <c:axId val="1070222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nl-NL"/>
          </a:p>
        </c:txPr>
        <c:crossAx val="107023744"/>
        <c:crosses val="autoZero"/>
        <c:auto val="1"/>
        <c:lblAlgn val="ctr"/>
        <c:lblOffset val="100"/>
        <c:noMultiLvlLbl val="0"/>
      </c:catAx>
      <c:valAx>
        <c:axId val="107023744"/>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nl-NL"/>
          </a:p>
        </c:txPr>
        <c:crossAx val="107022208"/>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1400" b="0" i="0" u="none" strike="noStrike" kern="1200" baseline="0">
                <a:solidFill>
                  <a:schemeClr val="dk1">
                    <a:lumMod val="65000"/>
                    <a:lumOff val="35000"/>
                  </a:schemeClr>
                </a:solidFill>
                <a:latin typeface="+mn-lt"/>
                <a:ea typeface="+mn-ea"/>
                <a:cs typeface="+mn-cs"/>
              </a:defRPr>
            </a:pPr>
            <a:endParaRPr lang="nl-NL"/>
          </a:p>
        </c:txPr>
      </c:dTable>
      <c:spPr>
        <a:solidFill>
          <a:schemeClr val="bg1"/>
        </a:solidFill>
        <a:ln>
          <a:solidFill>
            <a:schemeClr val="bg1"/>
          </a:solidFill>
        </a:ln>
        <a:effectLst/>
      </c:spPr>
    </c:plotArea>
    <c:plotVisOnly val="1"/>
    <c:dispBlanksAs val="gap"/>
    <c:showDLblsOverMax val="0"/>
  </c:chart>
  <c:spPr>
    <a:solidFill>
      <a:schemeClr val="lt1"/>
    </a:solidFill>
    <a:ln w="25400" cap="flat" cmpd="sng" algn="ctr">
      <a:solidFill>
        <a:srgbClr val="EE2E24"/>
      </a:solidFill>
      <a:round/>
    </a:ln>
    <a:effectLst/>
  </c:spPr>
  <c:txPr>
    <a:bodyPr/>
    <a:lstStyle/>
    <a:p>
      <a:pPr>
        <a:defRPr sz="1100" baseline="0"/>
      </a:pPr>
      <a:endParaRPr lang="nl-NL"/>
    </a:p>
  </c:txPr>
  <c:printSettings>
    <c:headerFooter/>
    <c:pageMargins b="0.75000000000000211" l="0.70000000000000062" r="0.70000000000000062" t="0.75000000000000211"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r>
              <a:rPr lang="nl-NL" sz="1800">
                <a:solidFill>
                  <a:schemeClr val="tx1"/>
                </a:solidFill>
              </a:rPr>
              <a:t>CO2 uitstoot van 2017 t/m 2024</a:t>
            </a:r>
          </a:p>
        </c:rich>
      </c:tx>
      <c:layout>
        <c:manualLayout>
          <c:xMode val="edge"/>
          <c:yMode val="edge"/>
          <c:x val="0.38776641878571166"/>
          <c:y val="1.9410105991405552E-2"/>
        </c:manualLayout>
      </c:layout>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endParaRPr lang="nl-NL"/>
        </a:p>
      </c:txPr>
    </c:title>
    <c:autoTitleDeleted val="0"/>
    <c:plotArea>
      <c:layout>
        <c:manualLayout>
          <c:layoutTarget val="inner"/>
          <c:xMode val="edge"/>
          <c:yMode val="edge"/>
          <c:x val="0.24345108974564983"/>
          <c:y val="9.9484995644765734E-2"/>
          <c:w val="0.74525073552118337"/>
          <c:h val="0.69659385823428199"/>
        </c:manualLayout>
      </c:layout>
      <c:barChart>
        <c:barDir val="col"/>
        <c:grouping val="stacked"/>
        <c:varyColors val="0"/>
        <c:ser>
          <c:idx val="0"/>
          <c:order val="0"/>
          <c:tx>
            <c:strRef>
              <c:f>Trendlijn!$A$36</c:f>
              <c:strCache>
                <c:ptCount val="1"/>
                <c:pt idx="0">
                  <c:v>Wagenpark</c:v>
                </c:pt>
              </c:strCache>
            </c:strRef>
          </c:tx>
          <c:spPr>
            <a:solidFill>
              <a:schemeClr val="accent1"/>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Trendlijn!$M$36:$V$36</c:f>
              <c:numCache>
                <c:formatCode>0.00</c:formatCode>
                <c:ptCount val="8"/>
                <c:pt idx="0">
                  <c:v>429.73778333461541</c:v>
                </c:pt>
                <c:pt idx="1">
                  <c:v>430.80106684999998</c:v>
                </c:pt>
                <c:pt idx="2">
                  <c:v>410.67503396000001</c:v>
                </c:pt>
                <c:pt idx="3">
                  <c:v>430.27180200000004</c:v>
                </c:pt>
                <c:pt idx="4">
                  <c:v>429.52457565999998</c:v>
                </c:pt>
                <c:pt idx="5">
                  <c:v>378.96380399999998</c:v>
                </c:pt>
                <c:pt idx="6">
                  <c:v>403.865612</c:v>
                </c:pt>
                <c:pt idx="7">
                  <c:v>362.89905467199998</c:v>
                </c:pt>
              </c:numCache>
            </c:numRef>
          </c:val>
          <c:extLst>
            <c:ext xmlns:c16="http://schemas.microsoft.com/office/drawing/2014/chart" uri="{C3380CC4-5D6E-409C-BE32-E72D297353CC}">
              <c16:uniqueId val="{00000000-F435-49E6-9363-3A3A62AFD50C}"/>
            </c:ext>
          </c:extLst>
        </c:ser>
        <c:ser>
          <c:idx val="1"/>
          <c:order val="1"/>
          <c:tx>
            <c:strRef>
              <c:f>Trendlijn!$A$37</c:f>
              <c:strCache>
                <c:ptCount val="1"/>
                <c:pt idx="0">
                  <c:v>Brandstoffen materieel</c:v>
                </c:pt>
              </c:strCache>
            </c:strRef>
          </c:tx>
          <c:spPr>
            <a:solidFill>
              <a:schemeClr val="accent2"/>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Trendlijn!$M$37:$V$37</c:f>
              <c:numCache>
                <c:formatCode>0.00</c:formatCode>
                <c:ptCount val="8"/>
                <c:pt idx="0">
                  <c:v>20.139096319999997</c:v>
                </c:pt>
                <c:pt idx="1">
                  <c:v>17.245051319999998</c:v>
                </c:pt>
                <c:pt idx="2">
                  <c:v>12.614130200000002</c:v>
                </c:pt>
                <c:pt idx="3">
                  <c:v>13.45026144</c:v>
                </c:pt>
                <c:pt idx="4">
                  <c:v>11.081976399999999</c:v>
                </c:pt>
                <c:pt idx="5">
                  <c:v>9.1284530000000004</c:v>
                </c:pt>
                <c:pt idx="6">
                  <c:v>9.5660644000000019</c:v>
                </c:pt>
                <c:pt idx="7">
                  <c:v>8.1906976200000017</c:v>
                </c:pt>
              </c:numCache>
            </c:numRef>
          </c:val>
          <c:extLst>
            <c:ext xmlns:c16="http://schemas.microsoft.com/office/drawing/2014/chart" uri="{C3380CC4-5D6E-409C-BE32-E72D297353CC}">
              <c16:uniqueId val="{00000001-F435-49E6-9363-3A3A62AFD50C}"/>
            </c:ext>
          </c:extLst>
        </c:ser>
        <c:ser>
          <c:idx val="3"/>
          <c:order val="2"/>
          <c:tx>
            <c:strRef>
              <c:f>Trendlijn!$A$39</c:f>
              <c:strCache>
                <c:ptCount val="1"/>
                <c:pt idx="0">
                  <c:v>Elektriciteit </c:v>
                </c:pt>
              </c:strCache>
            </c:strRef>
          </c:tx>
          <c:spPr>
            <a:solidFill>
              <a:schemeClr val="accent4"/>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Trendlijn!$M$39:$V$39</c:f>
              <c:numCache>
                <c:formatCode>0.00</c:formatCode>
                <c:ptCount val="8"/>
                <c:pt idx="0">
                  <c:v>15.397399560723514</c:v>
                </c:pt>
                <c:pt idx="1">
                  <c:v>21.039269166666667</c:v>
                </c:pt>
                <c:pt idx="2">
                  <c:v>17.287831831395348</c:v>
                </c:pt>
                <c:pt idx="3">
                  <c:v>15.643774857142859</c:v>
                </c:pt>
                <c:pt idx="4">
                  <c:v>14.193568000000001</c:v>
                </c:pt>
                <c:pt idx="5">
                  <c:v>0</c:v>
                </c:pt>
                <c:pt idx="6">
                  <c:v>0</c:v>
                </c:pt>
                <c:pt idx="7">
                  <c:v>0</c:v>
                </c:pt>
              </c:numCache>
            </c:numRef>
          </c:val>
          <c:extLst>
            <c:ext xmlns:c16="http://schemas.microsoft.com/office/drawing/2014/chart" uri="{C3380CC4-5D6E-409C-BE32-E72D297353CC}">
              <c16:uniqueId val="{00000002-F435-49E6-9363-3A3A62AFD50C}"/>
            </c:ext>
          </c:extLst>
        </c:ser>
        <c:ser>
          <c:idx val="2"/>
          <c:order val="3"/>
          <c:tx>
            <c:strRef>
              <c:f>Trendlijn!$A$40</c:f>
              <c:strCache>
                <c:ptCount val="1"/>
                <c:pt idx="0">
                  <c:v>Brandstoffen voor verwarming</c:v>
                </c:pt>
              </c:strCache>
            </c:strRef>
          </c:tx>
          <c:spPr>
            <a:solidFill>
              <a:schemeClr val="accent3"/>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Trendlijn!$M$40:$V$40</c:f>
              <c:numCache>
                <c:formatCode>0.00</c:formatCode>
                <c:ptCount val="8"/>
                <c:pt idx="0">
                  <c:v>38.93641744186047</c:v>
                </c:pt>
                <c:pt idx="1">
                  <c:v>31.021813983050844</c:v>
                </c:pt>
                <c:pt idx="2">
                  <c:v>39.068189999999994</c:v>
                </c:pt>
                <c:pt idx="3">
                  <c:v>9.647964</c:v>
                </c:pt>
                <c:pt idx="4">
                  <c:v>23.236778440111419</c:v>
                </c:pt>
                <c:pt idx="5">
                  <c:v>13.298129999999999</c:v>
                </c:pt>
                <c:pt idx="6">
                  <c:v>14.120568</c:v>
                </c:pt>
                <c:pt idx="7">
                  <c:v>15.769215000000003</c:v>
                </c:pt>
              </c:numCache>
            </c:numRef>
          </c:val>
          <c:extLst>
            <c:ext xmlns:c16="http://schemas.microsoft.com/office/drawing/2014/chart" uri="{C3380CC4-5D6E-409C-BE32-E72D297353CC}">
              <c16:uniqueId val="{00000003-F435-49E6-9363-3A3A62AFD50C}"/>
            </c:ext>
          </c:extLst>
        </c:ser>
        <c:ser>
          <c:idx val="4"/>
          <c:order val="4"/>
          <c:spPr>
            <a:solidFill>
              <a:schemeClr val="accent5"/>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EAC4-8842-811F-B2192793A427}"/>
            </c:ext>
          </c:extLst>
        </c:ser>
        <c:dLbls>
          <c:showLegendKey val="0"/>
          <c:showVal val="0"/>
          <c:showCatName val="0"/>
          <c:showSerName val="0"/>
          <c:showPercent val="0"/>
          <c:showBubbleSize val="0"/>
        </c:dLbls>
        <c:gapWidth val="95"/>
        <c:overlap val="100"/>
        <c:axId val="107022208"/>
        <c:axId val="107023744"/>
      </c:barChart>
      <c:catAx>
        <c:axId val="1070222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nl-NL"/>
          </a:p>
        </c:txPr>
        <c:crossAx val="107023744"/>
        <c:crosses val="autoZero"/>
        <c:auto val="1"/>
        <c:lblAlgn val="ctr"/>
        <c:lblOffset val="100"/>
        <c:noMultiLvlLbl val="0"/>
      </c:catAx>
      <c:valAx>
        <c:axId val="10702374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r>
                  <a:rPr lang="nl-NL" sz="1400"/>
                  <a:t>Ton CO2</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nl-NL"/>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nl-NL"/>
          </a:p>
        </c:txPr>
        <c:crossAx val="107022208"/>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1400" b="0" i="0" u="none" strike="noStrike" kern="1200" baseline="0">
                <a:solidFill>
                  <a:schemeClr val="dk1">
                    <a:lumMod val="65000"/>
                    <a:lumOff val="35000"/>
                  </a:schemeClr>
                </a:solidFill>
                <a:latin typeface="+mn-lt"/>
                <a:ea typeface="+mn-ea"/>
                <a:cs typeface="+mn-cs"/>
              </a:defRPr>
            </a:pPr>
            <a:endParaRPr lang="nl-NL"/>
          </a:p>
        </c:txPr>
      </c:dTable>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sz="1100" baseline="0"/>
      </a:pPr>
      <a:endParaRPr lang="nl-NL"/>
    </a:p>
  </c:txPr>
  <c:printSettings>
    <c:headerFooter/>
    <c:pageMargins b="0.75000000000000211" l="0.70000000000000062" r="0.70000000000000062" t="0.75000000000000211"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r>
              <a:rPr lang="nl-NL" sz="1800">
                <a:solidFill>
                  <a:schemeClr val="tx1"/>
                </a:solidFill>
              </a:rPr>
              <a:t>CO2 uitstoot van 2017 t/m 2024</a:t>
            </a:r>
          </a:p>
        </c:rich>
      </c:tx>
      <c:layout>
        <c:manualLayout>
          <c:xMode val="edge"/>
          <c:yMode val="edge"/>
          <c:x val="0.44602920511923777"/>
          <c:y val="1.7996498405465132E-3"/>
        </c:manualLayout>
      </c:layout>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dk1">
                  <a:lumMod val="50000"/>
                  <a:lumOff val="50000"/>
                </a:schemeClr>
              </a:solidFill>
              <a:latin typeface="+mj-lt"/>
              <a:ea typeface="+mj-ea"/>
              <a:cs typeface="+mj-cs"/>
            </a:defRPr>
          </a:pPr>
          <a:endParaRPr lang="nl-NL"/>
        </a:p>
      </c:txPr>
    </c:title>
    <c:autoTitleDeleted val="0"/>
    <c:plotArea>
      <c:layout>
        <c:manualLayout>
          <c:layoutTarget val="inner"/>
          <c:xMode val="edge"/>
          <c:yMode val="edge"/>
          <c:x val="0.24345108974564983"/>
          <c:y val="9.9484995644765734E-2"/>
          <c:w val="0.74525073552118337"/>
          <c:h val="0.69659385823428199"/>
        </c:manualLayout>
      </c:layout>
      <c:barChart>
        <c:barDir val="col"/>
        <c:grouping val="stacked"/>
        <c:varyColors val="0"/>
        <c:ser>
          <c:idx val="0"/>
          <c:order val="0"/>
          <c:tx>
            <c:strRef>
              <c:f>Trendlijn!$A$36</c:f>
              <c:strCache>
                <c:ptCount val="1"/>
                <c:pt idx="0">
                  <c:v>Wagenpark</c:v>
                </c:pt>
              </c:strCache>
            </c:strRef>
          </c:tx>
          <c:spPr>
            <a:solidFill>
              <a:schemeClr val="accent1"/>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Trendlijn!$M$36:$V$36</c:f>
              <c:numCache>
                <c:formatCode>0.00</c:formatCode>
                <c:ptCount val="8"/>
                <c:pt idx="0">
                  <c:v>429.73778333461541</c:v>
                </c:pt>
                <c:pt idx="1">
                  <c:v>430.80106684999998</c:v>
                </c:pt>
                <c:pt idx="2">
                  <c:v>410.67503396000001</c:v>
                </c:pt>
                <c:pt idx="3">
                  <c:v>430.27180200000004</c:v>
                </c:pt>
                <c:pt idx="4">
                  <c:v>429.52457565999998</c:v>
                </c:pt>
                <c:pt idx="5">
                  <c:v>378.96380399999998</c:v>
                </c:pt>
                <c:pt idx="6">
                  <c:v>403.865612</c:v>
                </c:pt>
                <c:pt idx="7">
                  <c:v>362.89905467199998</c:v>
                </c:pt>
              </c:numCache>
            </c:numRef>
          </c:val>
          <c:extLst>
            <c:ext xmlns:c16="http://schemas.microsoft.com/office/drawing/2014/chart" uri="{C3380CC4-5D6E-409C-BE32-E72D297353CC}">
              <c16:uniqueId val="{00000000-F435-49E6-9363-3A3A62AFD50C}"/>
            </c:ext>
          </c:extLst>
        </c:ser>
        <c:ser>
          <c:idx val="1"/>
          <c:order val="1"/>
          <c:tx>
            <c:strRef>
              <c:f>Trendlijn!$A$37</c:f>
              <c:strCache>
                <c:ptCount val="1"/>
                <c:pt idx="0">
                  <c:v>Brandstoffen materieel</c:v>
                </c:pt>
              </c:strCache>
            </c:strRef>
          </c:tx>
          <c:spPr>
            <a:solidFill>
              <a:schemeClr val="accent2"/>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Trendlijn!$M$37:$V$37</c:f>
              <c:numCache>
                <c:formatCode>0.00</c:formatCode>
                <c:ptCount val="8"/>
                <c:pt idx="0">
                  <c:v>20.139096319999997</c:v>
                </c:pt>
                <c:pt idx="1">
                  <c:v>17.245051319999998</c:v>
                </c:pt>
                <c:pt idx="2">
                  <c:v>12.614130200000002</c:v>
                </c:pt>
                <c:pt idx="3">
                  <c:v>13.45026144</c:v>
                </c:pt>
                <c:pt idx="4">
                  <c:v>11.081976399999999</c:v>
                </c:pt>
                <c:pt idx="5">
                  <c:v>9.1284530000000004</c:v>
                </c:pt>
                <c:pt idx="6">
                  <c:v>9.5660644000000019</c:v>
                </c:pt>
                <c:pt idx="7">
                  <c:v>8.1906976200000017</c:v>
                </c:pt>
              </c:numCache>
            </c:numRef>
          </c:val>
          <c:extLst>
            <c:ext xmlns:c16="http://schemas.microsoft.com/office/drawing/2014/chart" uri="{C3380CC4-5D6E-409C-BE32-E72D297353CC}">
              <c16:uniqueId val="{00000001-F435-49E6-9363-3A3A62AFD50C}"/>
            </c:ext>
          </c:extLst>
        </c:ser>
        <c:ser>
          <c:idx val="3"/>
          <c:order val="2"/>
          <c:tx>
            <c:strRef>
              <c:f>Trendlijn!$A$39</c:f>
              <c:strCache>
                <c:ptCount val="1"/>
                <c:pt idx="0">
                  <c:v>Elektriciteit </c:v>
                </c:pt>
              </c:strCache>
            </c:strRef>
          </c:tx>
          <c:spPr>
            <a:solidFill>
              <a:schemeClr val="accent4"/>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Trendlijn!$M$39:$V$39</c:f>
              <c:numCache>
                <c:formatCode>0.00</c:formatCode>
                <c:ptCount val="8"/>
                <c:pt idx="0">
                  <c:v>15.397399560723514</c:v>
                </c:pt>
                <c:pt idx="1">
                  <c:v>21.039269166666667</c:v>
                </c:pt>
                <c:pt idx="2">
                  <c:v>17.287831831395348</c:v>
                </c:pt>
                <c:pt idx="3">
                  <c:v>15.643774857142859</c:v>
                </c:pt>
                <c:pt idx="4">
                  <c:v>14.193568000000001</c:v>
                </c:pt>
                <c:pt idx="5">
                  <c:v>0</c:v>
                </c:pt>
                <c:pt idx="6">
                  <c:v>0</c:v>
                </c:pt>
                <c:pt idx="7">
                  <c:v>0</c:v>
                </c:pt>
              </c:numCache>
            </c:numRef>
          </c:val>
          <c:extLst>
            <c:ext xmlns:c16="http://schemas.microsoft.com/office/drawing/2014/chart" uri="{C3380CC4-5D6E-409C-BE32-E72D297353CC}">
              <c16:uniqueId val="{00000002-F435-49E6-9363-3A3A62AFD50C}"/>
            </c:ext>
          </c:extLst>
        </c:ser>
        <c:ser>
          <c:idx val="2"/>
          <c:order val="3"/>
          <c:tx>
            <c:strRef>
              <c:f>Trendlijn!$A$40</c:f>
              <c:strCache>
                <c:ptCount val="1"/>
                <c:pt idx="0">
                  <c:v>Brandstoffen voor verwarming</c:v>
                </c:pt>
              </c:strCache>
            </c:strRef>
          </c:tx>
          <c:spPr>
            <a:solidFill>
              <a:schemeClr val="accent3"/>
            </a:solidFill>
            <a:ln>
              <a:noFill/>
            </a:ln>
            <a:effectLst/>
          </c:spPr>
          <c:invertIfNegative val="0"/>
          <c:cat>
            <c:numRef>
              <c:f>Trendlijn!$M$31:$V$31</c:f>
              <c:numCache>
                <c:formatCode>General</c:formatCode>
                <c:ptCount val="8"/>
                <c:pt idx="0">
                  <c:v>2017</c:v>
                </c:pt>
                <c:pt idx="1">
                  <c:v>2018</c:v>
                </c:pt>
                <c:pt idx="2">
                  <c:v>2019</c:v>
                </c:pt>
                <c:pt idx="3">
                  <c:v>2020</c:v>
                </c:pt>
                <c:pt idx="4">
                  <c:v>2021</c:v>
                </c:pt>
                <c:pt idx="5">
                  <c:v>2022</c:v>
                </c:pt>
                <c:pt idx="6">
                  <c:v>2023</c:v>
                </c:pt>
                <c:pt idx="7">
                  <c:v>2024</c:v>
                </c:pt>
              </c:numCache>
            </c:numRef>
          </c:cat>
          <c:val>
            <c:numRef>
              <c:f>Trendlijn!$M$40:$V$40</c:f>
              <c:numCache>
                <c:formatCode>0.00</c:formatCode>
                <c:ptCount val="8"/>
                <c:pt idx="0">
                  <c:v>38.93641744186047</c:v>
                </c:pt>
                <c:pt idx="1">
                  <c:v>31.021813983050844</c:v>
                </c:pt>
                <c:pt idx="2">
                  <c:v>39.068189999999994</c:v>
                </c:pt>
                <c:pt idx="3">
                  <c:v>9.647964</c:v>
                </c:pt>
                <c:pt idx="4">
                  <c:v>23.236778440111419</c:v>
                </c:pt>
                <c:pt idx="5">
                  <c:v>13.298129999999999</c:v>
                </c:pt>
                <c:pt idx="6">
                  <c:v>14.120568</c:v>
                </c:pt>
                <c:pt idx="7">
                  <c:v>15.769215000000003</c:v>
                </c:pt>
              </c:numCache>
            </c:numRef>
          </c:val>
          <c:extLst>
            <c:ext xmlns:c16="http://schemas.microsoft.com/office/drawing/2014/chart" uri="{C3380CC4-5D6E-409C-BE32-E72D297353CC}">
              <c16:uniqueId val="{00000003-F435-49E6-9363-3A3A62AFD50C}"/>
            </c:ext>
          </c:extLst>
        </c:ser>
        <c:ser>
          <c:idx val="4"/>
          <c:order val="4"/>
          <c:tx>
            <c:strRef>
              <c:f>Trendlijn!$A$38</c:f>
              <c:strCache>
                <c:ptCount val="1"/>
                <c:pt idx="0">
                  <c:v>Laden EV's - externe locaties</c:v>
                </c:pt>
              </c:strCache>
            </c:strRef>
          </c:tx>
          <c:spPr>
            <a:solidFill>
              <a:schemeClr val="accent5"/>
            </a:solidFill>
            <a:ln>
              <a:noFill/>
            </a:ln>
            <a:effectLst/>
          </c:spPr>
          <c:invertIfNegative val="0"/>
          <c:val>
            <c:numRef>
              <c:f>Trendlijn!$M$38:$V$38</c:f>
              <c:numCache>
                <c:formatCode>0.00</c:formatCode>
                <c:ptCount val="8"/>
                <c:pt idx="0">
                  <c:v>0</c:v>
                </c:pt>
                <c:pt idx="1">
                  <c:v>0</c:v>
                </c:pt>
                <c:pt idx="2">
                  <c:v>0</c:v>
                </c:pt>
                <c:pt idx="3">
                  <c:v>0</c:v>
                </c:pt>
                <c:pt idx="4">
                  <c:v>0</c:v>
                </c:pt>
                <c:pt idx="5">
                  <c:v>0</c:v>
                </c:pt>
                <c:pt idx="6">
                  <c:v>0</c:v>
                </c:pt>
                <c:pt idx="7">
                  <c:v>13.235709032000001</c:v>
                </c:pt>
              </c:numCache>
            </c:numRef>
          </c:val>
          <c:extLst>
            <c:ext xmlns:c16="http://schemas.microsoft.com/office/drawing/2014/chart" uri="{C3380CC4-5D6E-409C-BE32-E72D297353CC}">
              <c16:uniqueId val="{00000000-EAC4-8842-811F-B2192793A427}"/>
            </c:ext>
          </c:extLst>
        </c:ser>
        <c:dLbls>
          <c:showLegendKey val="0"/>
          <c:showVal val="0"/>
          <c:showCatName val="0"/>
          <c:showSerName val="0"/>
          <c:showPercent val="0"/>
          <c:showBubbleSize val="0"/>
        </c:dLbls>
        <c:gapWidth val="95"/>
        <c:overlap val="100"/>
        <c:axId val="107022208"/>
        <c:axId val="107023744"/>
      </c:barChart>
      <c:catAx>
        <c:axId val="1070222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nl-NL"/>
          </a:p>
        </c:txPr>
        <c:crossAx val="107023744"/>
        <c:crosses val="autoZero"/>
        <c:auto val="1"/>
        <c:lblAlgn val="ctr"/>
        <c:lblOffset val="100"/>
        <c:noMultiLvlLbl val="0"/>
      </c:catAx>
      <c:valAx>
        <c:axId val="10702374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r>
                  <a:rPr lang="nl-NL" sz="1400"/>
                  <a:t>Ton CO2</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nl-NL"/>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lumMod val="65000"/>
                    <a:lumOff val="35000"/>
                  </a:schemeClr>
                </a:solidFill>
                <a:latin typeface="+mn-lt"/>
                <a:ea typeface="+mn-ea"/>
                <a:cs typeface="+mn-cs"/>
              </a:defRPr>
            </a:pPr>
            <a:endParaRPr lang="nl-NL"/>
          </a:p>
        </c:txPr>
        <c:crossAx val="107022208"/>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1400" b="0" i="0" u="none" strike="noStrike" kern="1200" baseline="0">
                <a:solidFill>
                  <a:schemeClr val="dk1">
                    <a:lumMod val="65000"/>
                    <a:lumOff val="35000"/>
                  </a:schemeClr>
                </a:solidFill>
                <a:latin typeface="+mn-lt"/>
                <a:ea typeface="+mn-ea"/>
                <a:cs typeface="+mn-cs"/>
              </a:defRPr>
            </a:pPr>
            <a:endParaRPr lang="nl-NL"/>
          </a:p>
        </c:txPr>
      </c:dTable>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sz="1100" baseline="0"/>
      </a:pPr>
      <a:endParaRPr lang="nl-NL"/>
    </a:p>
  </c:txPr>
  <c:printSettings>
    <c:headerFooter/>
    <c:pageMargins b="0.75000000000000211" l="0.70000000000000062" r="0.70000000000000062" t="0.750000000000002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2013</a:t>
            </a:r>
          </a:p>
        </c:rich>
      </c:tx>
      <c:overlay val="0"/>
    </c:title>
    <c:autoTitleDeleted val="0"/>
    <c:plotArea>
      <c:layout/>
      <c:pieChart>
        <c:varyColors val="1"/>
        <c:ser>
          <c:idx val="0"/>
          <c:order val="0"/>
          <c:dLbls>
            <c:dLbl>
              <c:idx val="1"/>
              <c:layout>
                <c:manualLayout>
                  <c:x val="-8.2820598129460285E-2"/>
                  <c:y val="6.67920937595384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15-4A38-B84F-56CA601E0542}"/>
                </c:ext>
              </c:extLst>
            </c:dLbl>
            <c:dLbl>
              <c:idx val="2"/>
              <c:layout>
                <c:manualLayout>
                  <c:x val="1.8662526339137401E-2"/>
                  <c:y val="-4.78802140308719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15-4A38-B84F-56CA601E0542}"/>
                </c:ext>
              </c:extLst>
            </c:dLbl>
            <c:dLbl>
              <c:idx val="3"/>
              <c:layout>
                <c:manualLayout>
                  <c:x val="0.1666603083065322"/>
                  <c:y val="6.53745901383928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15-4A38-B84F-56CA601E0542}"/>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2013'!$D$26:$D$29</c:f>
              <c:strCache>
                <c:ptCount val="4"/>
                <c:pt idx="0">
                  <c:v>Wagenpark incl. groot materieel</c:v>
                </c:pt>
                <c:pt idx="1">
                  <c:v>Brandstoffen materieel</c:v>
                </c:pt>
                <c:pt idx="2">
                  <c:v>Elektriciteit </c:v>
                </c:pt>
                <c:pt idx="3">
                  <c:v>Brandstoffen voor verwarming</c:v>
                </c:pt>
              </c:strCache>
            </c:strRef>
          </c:cat>
          <c:val>
            <c:numRef>
              <c:f>'Footprint 2013'!$G$26:$G$29</c:f>
              <c:numCache>
                <c:formatCode>0.00</c:formatCode>
                <c:ptCount val="4"/>
                <c:pt idx="0">
                  <c:v>351.72648949999996</c:v>
                </c:pt>
                <c:pt idx="1">
                  <c:v>12.4512464</c:v>
                </c:pt>
                <c:pt idx="2">
                  <c:v>22.724778000000001</c:v>
                </c:pt>
                <c:pt idx="3">
                  <c:v>23.124216000000001</c:v>
                </c:pt>
              </c:numCache>
            </c:numRef>
          </c:val>
          <c:extLst>
            <c:ext xmlns:c16="http://schemas.microsoft.com/office/drawing/2014/chart" uri="{C3380CC4-5D6E-409C-BE32-E72D297353CC}">
              <c16:uniqueId val="{00000003-2215-4A38-B84F-56CA601E054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Scope</a:t>
            </a:r>
            <a:r>
              <a:rPr lang="nl-NL" baseline="0"/>
              <a:t> verdeling 2013</a:t>
            </a:r>
            <a:endParaRPr lang="nl-NL"/>
          </a:p>
        </c:rich>
      </c:tx>
      <c:overlay val="0"/>
    </c:title>
    <c:autoTitleDeleted val="0"/>
    <c:plotArea>
      <c:layout/>
      <c:pieChart>
        <c:varyColors val="1"/>
        <c:ser>
          <c:idx val="0"/>
          <c:order val="0"/>
          <c:dLbls>
            <c:dLbl>
              <c:idx val="1"/>
              <c:layout>
                <c:manualLayout>
                  <c:x val="-9.3788877541546745E-2"/>
                  <c:y val="4.24906265431634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F75-4DA3-9D37-6D22AC76243F}"/>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2013'!$F$23:$F$24</c:f>
              <c:strCache>
                <c:ptCount val="2"/>
                <c:pt idx="0">
                  <c:v>Scope 1</c:v>
                </c:pt>
                <c:pt idx="1">
                  <c:v>Scope 2</c:v>
                </c:pt>
              </c:strCache>
            </c:strRef>
          </c:cat>
          <c:val>
            <c:numRef>
              <c:f>'Footprint 2013'!$G$23:$G$24</c:f>
              <c:numCache>
                <c:formatCode>0.00</c:formatCode>
                <c:ptCount val="2"/>
                <c:pt idx="0">
                  <c:v>387.30195189999995</c:v>
                </c:pt>
                <c:pt idx="1">
                  <c:v>22.724778000000001</c:v>
                </c:pt>
              </c:numCache>
            </c:numRef>
          </c:val>
          <c:extLst>
            <c:ext xmlns:c16="http://schemas.microsoft.com/office/drawing/2014/chart" uri="{C3380CC4-5D6E-409C-BE32-E72D297353CC}">
              <c16:uniqueId val="{00000001-FF75-4DA3-9D37-6D22AC76243F}"/>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'Footprint 2014-H1'!$A$9</c:f>
              <c:strCache>
                <c:ptCount val="1"/>
                <c:pt idx="0">
                  <c:v>Energiestroom</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2014-H1'!$G$11:$G$19</c:f>
              <c:numCache>
                <c:formatCode>General</c:formatCode>
                <c:ptCount val="9"/>
                <c:pt idx="0" formatCode="0.00">
                  <c:v>145.47920000000002</c:v>
                </c:pt>
                <c:pt idx="2" formatCode="0.00">
                  <c:v>0.75851999999999997</c:v>
                </c:pt>
                <c:pt idx="3" formatCode="0.00">
                  <c:v>0.25357499999999999</c:v>
                </c:pt>
                <c:pt idx="4" formatCode="0.00">
                  <c:v>8.0145000000000017</c:v>
                </c:pt>
                <c:pt idx="6" formatCode="0.00">
                  <c:v>0</c:v>
                </c:pt>
                <c:pt idx="8" formatCode="0.00">
                  <c:v>14.399411999999998</c:v>
                </c:pt>
              </c:numCache>
            </c:numRef>
          </c:val>
          <c:extLst>
            <c:ext xmlns:c16="http://schemas.microsoft.com/office/drawing/2014/chart" uri="{C3380CC4-5D6E-409C-BE32-E72D297353CC}">
              <c16:uniqueId val="{00000000-1C3D-4723-91B6-9E27A8BBEAB2}"/>
            </c:ext>
          </c:extLst>
        </c:ser>
        <c:ser>
          <c:idx val="1"/>
          <c:order val="1"/>
          <c:tx>
            <c:strRef>
              <c:f>'Footprint 2014-H1'!$A$13</c:f>
              <c:strCache>
                <c:ptCount val="1"/>
                <c:pt idx="0">
                  <c:v>LPG verbruik materieel</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2014'!#VERW!</c:f>
              <c:numCache>
                <c:formatCode>General</c:formatCode>
                <c:ptCount val="1"/>
                <c:pt idx="0">
                  <c:v>1</c:v>
                </c:pt>
              </c:numCache>
            </c:numRef>
          </c:val>
          <c:extLst>
            <c:ext xmlns:c16="http://schemas.microsoft.com/office/drawing/2014/chart" uri="{C3380CC4-5D6E-409C-BE32-E72D297353CC}">
              <c16:uniqueId val="{00000001-1C3D-4723-91B6-9E27A8BBEAB2}"/>
            </c:ext>
          </c:extLst>
        </c:ser>
        <c:ser>
          <c:idx val="2"/>
          <c:order val="2"/>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2014-H1'!$A$17</c:f>
              <c:numCache>
                <c:formatCode>General</c:formatCode>
                <c:ptCount val="1"/>
                <c:pt idx="0">
                  <c:v>0</c:v>
                </c:pt>
              </c:numCache>
            </c:numRef>
          </c:val>
          <c:extLst>
            <c:ext xmlns:c16="http://schemas.microsoft.com/office/drawing/2014/chart" uri="{C3380CC4-5D6E-409C-BE32-E72D297353CC}">
              <c16:uniqueId val="{00000002-1C3D-4723-91B6-9E27A8BBEAB2}"/>
            </c:ext>
          </c:extLst>
        </c:ser>
        <c:ser>
          <c:idx val="3"/>
          <c:order val="3"/>
          <c:tx>
            <c:strRef>
              <c:f>'Footprint 2014-H1'!$A$19</c:f>
              <c:strCache>
                <c:ptCount val="1"/>
                <c:pt idx="0">
                  <c:v>Aardgas</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3-1C3D-4723-91B6-9E27A8BBEAB2}"/>
            </c:ext>
          </c:extLst>
        </c:ser>
        <c:ser>
          <c:idx val="4"/>
          <c:order val="4"/>
          <c:tx>
            <c:strRef>
              <c:f>'Footprint 2014-H1'!$G$11</c:f>
              <c:strCache>
                <c:ptCount val="1"/>
                <c:pt idx="0">
                  <c:v>145,48</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2014'!#VERW!</c:f>
              <c:numCache>
                <c:formatCode>General</c:formatCode>
                <c:ptCount val="1"/>
                <c:pt idx="0">
                  <c:v>1</c:v>
                </c:pt>
              </c:numCache>
            </c:numRef>
          </c:val>
          <c:extLst>
            <c:ext xmlns:c16="http://schemas.microsoft.com/office/drawing/2014/chart" uri="{C3380CC4-5D6E-409C-BE32-E72D297353CC}">
              <c16:uniqueId val="{00000004-1C3D-4723-91B6-9E27A8BBEAB2}"/>
            </c:ext>
          </c:extLst>
        </c:ser>
        <c:ser>
          <c:idx val="5"/>
          <c:order val="5"/>
          <c:tx>
            <c:strRef>
              <c:f>'Footprint 2014-H1'!$G$13</c:f>
              <c:strCache>
                <c:ptCount val="1"/>
                <c:pt idx="0">
                  <c:v>0,76</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2014'!#VERW!</c:f>
              <c:numCache>
                <c:formatCode>General</c:formatCode>
                <c:ptCount val="1"/>
                <c:pt idx="0">
                  <c:v>1</c:v>
                </c:pt>
              </c:numCache>
            </c:numRef>
          </c:val>
          <c:extLst>
            <c:ext xmlns:c16="http://schemas.microsoft.com/office/drawing/2014/chart" uri="{C3380CC4-5D6E-409C-BE32-E72D297353CC}">
              <c16:uniqueId val="{00000005-1C3D-4723-91B6-9E27A8BBEAB2}"/>
            </c:ext>
          </c:extLst>
        </c:ser>
        <c:ser>
          <c:idx val="6"/>
          <c:order val="6"/>
          <c:tx>
            <c:strRef>
              <c:f>'Footprint 2015-H1'!#REF!</c:f>
              <c:strCache>
                <c:ptCount val="1"/>
                <c:pt idx="0">
                  <c:v>#REF!</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2014-H1'!$G$17</c:f>
              <c:numCache>
                <c:formatCode>0.00</c:formatCode>
                <c:ptCount val="1"/>
                <c:pt idx="0">
                  <c:v>0</c:v>
                </c:pt>
              </c:numCache>
            </c:numRef>
          </c:val>
          <c:extLst>
            <c:ext xmlns:c16="http://schemas.microsoft.com/office/drawing/2014/chart" uri="{C3380CC4-5D6E-409C-BE32-E72D297353CC}">
              <c16:uniqueId val="{00000006-1C3D-4723-91B6-9E27A8BBEAB2}"/>
            </c:ext>
          </c:extLst>
        </c:ser>
        <c:ser>
          <c:idx val="7"/>
          <c:order val="7"/>
          <c:tx>
            <c:strRef>
              <c:f>'Footprint 2014-H1'!$G$19</c:f>
              <c:strCache>
                <c:ptCount val="1"/>
                <c:pt idx="0">
                  <c:v>14,40</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'Footprint 2014-H1'!$A$11:$A$19</c:f>
              <c:strCache>
                <c:ptCount val="9"/>
                <c:pt idx="0">
                  <c:v>Dieselverbruik wagenpark</c:v>
                </c:pt>
                <c:pt idx="1">
                  <c:v>Brandstoffen materieel</c:v>
                </c:pt>
                <c:pt idx="2">
                  <c:v>LPG verbruik materieel</c:v>
                </c:pt>
                <c:pt idx="3">
                  <c:v>Propaan materieel</c:v>
                </c:pt>
                <c:pt idx="4">
                  <c:v>Benzineverbruik materieel</c:v>
                </c:pt>
                <c:pt idx="5">
                  <c:v>Elektriciteit </c:v>
                </c:pt>
                <c:pt idx="6">
                  <c:v>Groene stroom</c:v>
                </c:pt>
                <c:pt idx="7">
                  <c:v>Brandstoffen voor verwarming</c:v>
                </c:pt>
                <c:pt idx="8">
                  <c:v>Aardgas</c:v>
                </c:pt>
              </c:strCache>
            </c:strRef>
          </c:cat>
          <c:val>
            <c:numRef>
              <c:f>'Footprint 2016-H1'!#VERW!</c:f>
              <c:numCache>
                <c:formatCode>General</c:formatCode>
                <c:ptCount val="1"/>
                <c:pt idx="0">
                  <c:v>1</c:v>
                </c:pt>
              </c:numCache>
            </c:numRef>
          </c:val>
          <c:extLst>
            <c:ext xmlns:c16="http://schemas.microsoft.com/office/drawing/2014/chart" uri="{C3380CC4-5D6E-409C-BE32-E72D297353CC}">
              <c16:uniqueId val="{00000007-1C3D-4723-91B6-9E27A8BBEAB2}"/>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nl-NL"/>
        </a:p>
      </c:txPr>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CO2 footprint 2016-H1</a:t>
            </a:r>
          </a:p>
        </c:rich>
      </c:tx>
      <c:overlay val="0"/>
    </c:title>
    <c:autoTitleDeleted val="0"/>
    <c:plotArea>
      <c:layout/>
      <c:pieChart>
        <c:varyColors val="1"/>
        <c:ser>
          <c:idx val="0"/>
          <c:order val="0"/>
          <c:dLbls>
            <c:dLbl>
              <c:idx val="1"/>
              <c:layout>
                <c:manualLayout>
                  <c:x val="-8.2820598129460285E-2"/>
                  <c:y val="6.67920937595384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186-42DC-8A43-6733D27100AB}"/>
                </c:ext>
              </c:extLst>
            </c:dLbl>
            <c:dLbl>
              <c:idx val="2"/>
              <c:layout>
                <c:manualLayout>
                  <c:x val="1.8662526339137401E-2"/>
                  <c:y val="-4.78802140308719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86-42DC-8A43-6733D27100AB}"/>
                </c:ext>
              </c:extLst>
            </c:dLbl>
            <c:dLbl>
              <c:idx val="3"/>
              <c:layout>
                <c:manualLayout>
                  <c:x val="0.1666603083065322"/>
                  <c:y val="6.53745901383928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186-42DC-8A43-6733D27100AB}"/>
                </c:ext>
              </c:extLst>
            </c:dLbl>
            <c:spPr>
              <a:noFill/>
              <a:ln>
                <a:noFill/>
              </a:ln>
              <a:effectLst/>
            </c:spPr>
            <c:txPr>
              <a:bodyPr/>
              <a:lstStyle/>
              <a:p>
                <a:pPr>
                  <a:defRPr sz="1200" baseline="0"/>
                </a:pPr>
                <a:endParaRPr lang="nl-NL"/>
              </a:p>
            </c:txPr>
            <c:showLegendKey val="0"/>
            <c:showVal val="0"/>
            <c:showCatName val="1"/>
            <c:showSerName val="0"/>
            <c:showPercent val="1"/>
            <c:showBubbleSize val="0"/>
            <c:showLeaderLines val="1"/>
            <c:extLst>
              <c:ext xmlns:c15="http://schemas.microsoft.com/office/drawing/2012/chart" uri="{CE6537A1-D6FC-4f65-9D91-7224C49458BB}"/>
            </c:extLst>
          </c:dLbls>
          <c:cat>
            <c:strRef>
              <c:f>'Footprint 2014-H1'!$D$26:$D$29</c:f>
              <c:strCache>
                <c:ptCount val="4"/>
                <c:pt idx="0">
                  <c:v>Wagenpark</c:v>
                </c:pt>
                <c:pt idx="1">
                  <c:v>Brandstoffen materieel</c:v>
                </c:pt>
                <c:pt idx="2">
                  <c:v>Elektriciteit </c:v>
                </c:pt>
                <c:pt idx="3">
                  <c:v>Brandstoffen voor verwarming</c:v>
                </c:pt>
              </c:strCache>
            </c:strRef>
          </c:cat>
          <c:val>
            <c:numRef>
              <c:f>'Footprint 2014-H1'!$G$26:$G$29</c:f>
              <c:numCache>
                <c:formatCode>0.00</c:formatCode>
                <c:ptCount val="4"/>
                <c:pt idx="0">
                  <c:v>145.47920000000002</c:v>
                </c:pt>
                <c:pt idx="1">
                  <c:v>9.0265950000000021</c:v>
                </c:pt>
                <c:pt idx="2">
                  <c:v>0</c:v>
                </c:pt>
                <c:pt idx="3">
                  <c:v>14.399411999999998</c:v>
                </c:pt>
              </c:numCache>
            </c:numRef>
          </c:val>
          <c:extLst>
            <c:ext xmlns:c16="http://schemas.microsoft.com/office/drawing/2014/chart" uri="{C3380CC4-5D6E-409C-BE32-E72D297353CC}">
              <c16:uniqueId val="{00000003-9186-42DC-8A43-6733D27100AB}"/>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1.xml.rels><?xml version="1.0" encoding="UTF-8" standalone="yes"?>
<Relationships xmlns="http://schemas.openxmlformats.org/package/2006/relationships"><Relationship Id="rId3" Type="http://schemas.openxmlformats.org/officeDocument/2006/relationships/hyperlink" Target="https://www.kreeft.nl/duurzaamheid-2/" TargetMode="External"/><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chart" Target="../charts/chart53.xml"/><Relationship Id="rId6" Type="http://schemas.openxmlformats.org/officeDocument/2006/relationships/chart" Target="../charts/chart54.xml"/><Relationship Id="rId5" Type="http://schemas.openxmlformats.org/officeDocument/2006/relationships/image" Target="../media/image4.png"/><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4005</xdr:rowOff>
    </xdr:from>
    <xdr:to>
      <xdr:col>3</xdr:col>
      <xdr:colOff>11206</xdr:colOff>
      <xdr:row>63</xdr:row>
      <xdr:rowOff>11208</xdr:rowOff>
    </xdr:to>
    <xdr:graphicFrame macro="">
      <xdr:nvGraphicFramePr>
        <xdr:cNvPr id="3" name="Grafiek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5304</xdr:colOff>
      <xdr:row>33</xdr:row>
      <xdr:rowOff>4000</xdr:rowOff>
    </xdr:from>
    <xdr:to>
      <xdr:col>7</xdr:col>
      <xdr:colOff>11206</xdr:colOff>
      <xdr:row>63</xdr:row>
      <xdr:rowOff>11205</xdr:rowOff>
    </xdr:to>
    <xdr:graphicFrame macro="">
      <xdr:nvGraphicFramePr>
        <xdr:cNvPr id="4" name="Grafiek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100853</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417877AB-3E96-4802-B948-A1C118EA4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11206</xdr:rowOff>
    </xdr:to>
    <xdr:graphicFrame macro="">
      <xdr:nvGraphicFramePr>
        <xdr:cNvPr id="3" name="Grafiek 2">
          <a:extLst>
            <a:ext uri="{FF2B5EF4-FFF2-40B4-BE49-F238E27FC236}">
              <a16:creationId xmlns:a16="http://schemas.microsoft.com/office/drawing/2014/main" id="{3250028A-B30B-4EE1-A4D3-F1D864128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149677</xdr:rowOff>
    </xdr:from>
    <xdr:to>
      <xdr:col>6</xdr:col>
      <xdr:colOff>694764</xdr:colOff>
      <xdr:row>60</xdr:row>
      <xdr:rowOff>11206</xdr:rowOff>
    </xdr:to>
    <xdr:graphicFrame macro="">
      <xdr:nvGraphicFramePr>
        <xdr:cNvPr id="4" name="Grafiek 3">
          <a:extLst>
            <a:ext uri="{FF2B5EF4-FFF2-40B4-BE49-F238E27FC236}">
              <a16:creationId xmlns:a16="http://schemas.microsoft.com/office/drawing/2014/main" id="{E31939CB-B56B-42DE-8D6D-E55DD8EB3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100853</xdr:colOff>
      <xdr:row>8</xdr:row>
      <xdr:rowOff>0</xdr:rowOff>
    </xdr:from>
    <xdr:to>
      <xdr:col>21</xdr:col>
      <xdr:colOff>0</xdr:colOff>
      <xdr:row>20</xdr:row>
      <xdr:rowOff>17318</xdr:rowOff>
    </xdr:to>
    <xdr:graphicFrame macro="">
      <xdr:nvGraphicFramePr>
        <xdr:cNvPr id="2" name="Grafiek 1">
          <a:extLst>
            <a:ext uri="{FF2B5EF4-FFF2-40B4-BE49-F238E27FC236}">
              <a16:creationId xmlns:a16="http://schemas.microsoft.com/office/drawing/2014/main" id="{C5B6C2B6-A7FA-46E1-A444-E0073A6B0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11206</xdr:rowOff>
    </xdr:to>
    <xdr:graphicFrame macro="">
      <xdr:nvGraphicFramePr>
        <xdr:cNvPr id="3" name="Grafiek 2">
          <a:extLst>
            <a:ext uri="{FF2B5EF4-FFF2-40B4-BE49-F238E27FC236}">
              <a16:creationId xmlns:a16="http://schemas.microsoft.com/office/drawing/2014/main" id="{A38ADF79-E985-445C-900C-9408D9A5E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142057</xdr:rowOff>
    </xdr:from>
    <xdr:to>
      <xdr:col>6</xdr:col>
      <xdr:colOff>694764</xdr:colOff>
      <xdr:row>60</xdr:row>
      <xdr:rowOff>3586</xdr:rowOff>
    </xdr:to>
    <xdr:graphicFrame macro="">
      <xdr:nvGraphicFramePr>
        <xdr:cNvPr id="4" name="Grafiek 3">
          <a:extLst>
            <a:ext uri="{FF2B5EF4-FFF2-40B4-BE49-F238E27FC236}">
              <a16:creationId xmlns:a16="http://schemas.microsoft.com/office/drawing/2014/main" id="{EA7DEECB-B7A8-4A45-9E3E-5A9899E16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100853</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4B7C50B6-F3D1-49D4-98FB-54B40FD59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11206</xdr:rowOff>
    </xdr:to>
    <xdr:graphicFrame macro="">
      <xdr:nvGraphicFramePr>
        <xdr:cNvPr id="3" name="Grafiek 2">
          <a:extLst>
            <a:ext uri="{FF2B5EF4-FFF2-40B4-BE49-F238E27FC236}">
              <a16:creationId xmlns:a16="http://schemas.microsoft.com/office/drawing/2014/main" id="{2206B22C-D138-4B60-BC93-73554AADA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149677</xdr:rowOff>
    </xdr:from>
    <xdr:to>
      <xdr:col>6</xdr:col>
      <xdr:colOff>694764</xdr:colOff>
      <xdr:row>60</xdr:row>
      <xdr:rowOff>11206</xdr:rowOff>
    </xdr:to>
    <xdr:graphicFrame macro="">
      <xdr:nvGraphicFramePr>
        <xdr:cNvPr id="4" name="Grafiek 3">
          <a:extLst>
            <a:ext uri="{FF2B5EF4-FFF2-40B4-BE49-F238E27FC236}">
              <a16:creationId xmlns:a16="http://schemas.microsoft.com/office/drawing/2014/main" id="{041711B6-7C8E-4801-8AF1-DEB8868D5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72278</xdr:colOff>
      <xdr:row>8</xdr:row>
      <xdr:rowOff>0</xdr:rowOff>
    </xdr:from>
    <xdr:to>
      <xdr:col>20</xdr:col>
      <xdr:colOff>561975</xdr:colOff>
      <xdr:row>20</xdr:row>
      <xdr:rowOff>17318</xdr:rowOff>
    </xdr:to>
    <xdr:graphicFrame macro="">
      <xdr:nvGraphicFramePr>
        <xdr:cNvPr id="2" name="Grafiek 1">
          <a:extLst>
            <a:ext uri="{FF2B5EF4-FFF2-40B4-BE49-F238E27FC236}">
              <a16:creationId xmlns:a16="http://schemas.microsoft.com/office/drawing/2014/main" id="{9103A2C7-6A24-40EB-9FF8-2FF0635B4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777240</xdr:colOff>
      <xdr:row>60</xdr:row>
      <xdr:rowOff>11206</xdr:rowOff>
    </xdr:to>
    <xdr:graphicFrame macro="">
      <xdr:nvGraphicFramePr>
        <xdr:cNvPr id="3" name="Grafiek 2">
          <a:extLst>
            <a:ext uri="{FF2B5EF4-FFF2-40B4-BE49-F238E27FC236}">
              <a16:creationId xmlns:a16="http://schemas.microsoft.com/office/drawing/2014/main" id="{0CFFFEBF-4319-4772-91CD-B89B5DCC7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973043</xdr:colOff>
      <xdr:row>30</xdr:row>
      <xdr:rowOff>149677</xdr:rowOff>
    </xdr:from>
    <xdr:to>
      <xdr:col>7</xdr:col>
      <xdr:colOff>938604</xdr:colOff>
      <xdr:row>60</xdr:row>
      <xdr:rowOff>11206</xdr:rowOff>
    </xdr:to>
    <xdr:graphicFrame macro="">
      <xdr:nvGraphicFramePr>
        <xdr:cNvPr id="4" name="Grafiek 3">
          <a:extLst>
            <a:ext uri="{FF2B5EF4-FFF2-40B4-BE49-F238E27FC236}">
              <a16:creationId xmlns:a16="http://schemas.microsoft.com/office/drawing/2014/main" id="{3C8E7422-E136-438C-9269-6BCE5AC19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72278</xdr:colOff>
      <xdr:row>8</xdr:row>
      <xdr:rowOff>0</xdr:rowOff>
    </xdr:from>
    <xdr:to>
      <xdr:col>21</xdr:col>
      <xdr:colOff>561975</xdr:colOff>
      <xdr:row>20</xdr:row>
      <xdr:rowOff>17318</xdr:rowOff>
    </xdr:to>
    <xdr:graphicFrame macro="">
      <xdr:nvGraphicFramePr>
        <xdr:cNvPr id="5" name="Grafiek 4">
          <a:extLst>
            <a:ext uri="{FF2B5EF4-FFF2-40B4-BE49-F238E27FC236}">
              <a16:creationId xmlns:a16="http://schemas.microsoft.com/office/drawing/2014/main" id="{2E8EC386-9EFC-4FAB-A5AC-FAABCB586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777240</xdr:colOff>
      <xdr:row>60</xdr:row>
      <xdr:rowOff>11206</xdr:rowOff>
    </xdr:to>
    <xdr:graphicFrame macro="">
      <xdr:nvGraphicFramePr>
        <xdr:cNvPr id="6" name="Grafiek 5">
          <a:extLst>
            <a:ext uri="{FF2B5EF4-FFF2-40B4-BE49-F238E27FC236}">
              <a16:creationId xmlns:a16="http://schemas.microsoft.com/office/drawing/2014/main" id="{A74D702D-3F8F-42D4-B64A-7C905BF41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973043</xdr:colOff>
      <xdr:row>30</xdr:row>
      <xdr:rowOff>149677</xdr:rowOff>
    </xdr:from>
    <xdr:to>
      <xdr:col>7</xdr:col>
      <xdr:colOff>938604</xdr:colOff>
      <xdr:row>60</xdr:row>
      <xdr:rowOff>11206</xdr:rowOff>
    </xdr:to>
    <xdr:graphicFrame macro="">
      <xdr:nvGraphicFramePr>
        <xdr:cNvPr id="7" name="Grafiek 6">
          <a:extLst>
            <a:ext uri="{FF2B5EF4-FFF2-40B4-BE49-F238E27FC236}">
              <a16:creationId xmlns:a16="http://schemas.microsoft.com/office/drawing/2014/main" id="{839F9957-6A36-4F90-ACA4-3A4011223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32</xdr:row>
      <xdr:rowOff>145677</xdr:rowOff>
    </xdr:from>
    <xdr:to>
      <xdr:col>3</xdr:col>
      <xdr:colOff>777240</xdr:colOff>
      <xdr:row>62</xdr:row>
      <xdr:rowOff>11206</xdr:rowOff>
    </xdr:to>
    <xdr:graphicFrame macro="">
      <xdr:nvGraphicFramePr>
        <xdr:cNvPr id="3" name="Grafiek 2">
          <a:extLst>
            <a:ext uri="{FF2B5EF4-FFF2-40B4-BE49-F238E27FC236}">
              <a16:creationId xmlns:a16="http://schemas.microsoft.com/office/drawing/2014/main" id="{F2F271EA-F9F4-496D-B093-1FD7487C7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973043</xdr:colOff>
      <xdr:row>32</xdr:row>
      <xdr:rowOff>149677</xdr:rowOff>
    </xdr:from>
    <xdr:to>
      <xdr:col>7</xdr:col>
      <xdr:colOff>0</xdr:colOff>
      <xdr:row>62</xdr:row>
      <xdr:rowOff>11206</xdr:rowOff>
    </xdr:to>
    <xdr:graphicFrame macro="">
      <xdr:nvGraphicFramePr>
        <xdr:cNvPr id="4" name="Grafiek 3">
          <a:extLst>
            <a:ext uri="{FF2B5EF4-FFF2-40B4-BE49-F238E27FC236}">
              <a16:creationId xmlns:a16="http://schemas.microsoft.com/office/drawing/2014/main" id="{00023EA1-83E0-4B65-B5C1-C852A0E9E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32</xdr:row>
      <xdr:rowOff>145677</xdr:rowOff>
    </xdr:from>
    <xdr:to>
      <xdr:col>3</xdr:col>
      <xdr:colOff>777240</xdr:colOff>
      <xdr:row>62</xdr:row>
      <xdr:rowOff>11206</xdr:rowOff>
    </xdr:to>
    <xdr:graphicFrame macro="">
      <xdr:nvGraphicFramePr>
        <xdr:cNvPr id="2" name="Grafiek 1">
          <a:extLst>
            <a:ext uri="{FF2B5EF4-FFF2-40B4-BE49-F238E27FC236}">
              <a16:creationId xmlns:a16="http://schemas.microsoft.com/office/drawing/2014/main" id="{12757D7A-DC32-B745-85E8-B9F76993F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973043</xdr:colOff>
      <xdr:row>32</xdr:row>
      <xdr:rowOff>149677</xdr:rowOff>
    </xdr:from>
    <xdr:to>
      <xdr:col>7</xdr:col>
      <xdr:colOff>1765300</xdr:colOff>
      <xdr:row>62</xdr:row>
      <xdr:rowOff>11206</xdr:rowOff>
    </xdr:to>
    <xdr:graphicFrame macro="">
      <xdr:nvGraphicFramePr>
        <xdr:cNvPr id="3" name="Grafiek 2">
          <a:extLst>
            <a:ext uri="{FF2B5EF4-FFF2-40B4-BE49-F238E27FC236}">
              <a16:creationId xmlns:a16="http://schemas.microsoft.com/office/drawing/2014/main" id="{398183BC-4237-DE41-B94E-DECB674F9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145677</xdr:rowOff>
    </xdr:from>
    <xdr:to>
      <xdr:col>3</xdr:col>
      <xdr:colOff>777240</xdr:colOff>
      <xdr:row>62</xdr:row>
      <xdr:rowOff>11206</xdr:rowOff>
    </xdr:to>
    <xdr:graphicFrame macro="">
      <xdr:nvGraphicFramePr>
        <xdr:cNvPr id="2" name="Grafiek 1">
          <a:extLst>
            <a:ext uri="{FF2B5EF4-FFF2-40B4-BE49-F238E27FC236}">
              <a16:creationId xmlns:a16="http://schemas.microsoft.com/office/drawing/2014/main" id="{07CB0ECE-5419-4E4D-AE5C-00F74AF49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973043</xdr:colOff>
      <xdr:row>32</xdr:row>
      <xdr:rowOff>149677</xdr:rowOff>
    </xdr:from>
    <xdr:to>
      <xdr:col>7</xdr:col>
      <xdr:colOff>1765300</xdr:colOff>
      <xdr:row>62</xdr:row>
      <xdr:rowOff>11206</xdr:rowOff>
    </xdr:to>
    <xdr:graphicFrame macro="">
      <xdr:nvGraphicFramePr>
        <xdr:cNvPr id="3" name="Grafiek 2">
          <a:extLst>
            <a:ext uri="{FF2B5EF4-FFF2-40B4-BE49-F238E27FC236}">
              <a16:creationId xmlns:a16="http://schemas.microsoft.com/office/drawing/2014/main" id="{9B3B7096-C1FE-394D-98A5-AA7514518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37</xdr:row>
      <xdr:rowOff>145677</xdr:rowOff>
    </xdr:from>
    <xdr:to>
      <xdr:col>3</xdr:col>
      <xdr:colOff>777240</xdr:colOff>
      <xdr:row>67</xdr:row>
      <xdr:rowOff>11206</xdr:rowOff>
    </xdr:to>
    <xdr:graphicFrame macro="">
      <xdr:nvGraphicFramePr>
        <xdr:cNvPr id="2" name="Grafiek 1">
          <a:extLst>
            <a:ext uri="{FF2B5EF4-FFF2-40B4-BE49-F238E27FC236}">
              <a16:creationId xmlns:a16="http://schemas.microsoft.com/office/drawing/2014/main" id="{58143787-401A-8440-8DE2-C25340408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973043</xdr:colOff>
      <xdr:row>37</xdr:row>
      <xdr:rowOff>149677</xdr:rowOff>
    </xdr:from>
    <xdr:to>
      <xdr:col>7</xdr:col>
      <xdr:colOff>1765300</xdr:colOff>
      <xdr:row>67</xdr:row>
      <xdr:rowOff>11206</xdr:rowOff>
    </xdr:to>
    <xdr:graphicFrame macro="">
      <xdr:nvGraphicFramePr>
        <xdr:cNvPr id="3" name="Grafiek 2">
          <a:extLst>
            <a:ext uri="{FF2B5EF4-FFF2-40B4-BE49-F238E27FC236}">
              <a16:creationId xmlns:a16="http://schemas.microsoft.com/office/drawing/2014/main" id="{A439B1E9-3262-9A4C-9563-5BCBA74DF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37</xdr:row>
      <xdr:rowOff>145677</xdr:rowOff>
    </xdr:from>
    <xdr:to>
      <xdr:col>3</xdr:col>
      <xdr:colOff>777240</xdr:colOff>
      <xdr:row>67</xdr:row>
      <xdr:rowOff>11206</xdr:rowOff>
    </xdr:to>
    <xdr:graphicFrame macro="">
      <xdr:nvGraphicFramePr>
        <xdr:cNvPr id="2" name="Grafiek 1">
          <a:extLst>
            <a:ext uri="{FF2B5EF4-FFF2-40B4-BE49-F238E27FC236}">
              <a16:creationId xmlns:a16="http://schemas.microsoft.com/office/drawing/2014/main" id="{F7A7903C-6DDA-3249-9FB1-9FF6A3637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973043</xdr:colOff>
      <xdr:row>37</xdr:row>
      <xdr:rowOff>149677</xdr:rowOff>
    </xdr:from>
    <xdr:to>
      <xdr:col>7</xdr:col>
      <xdr:colOff>1765300</xdr:colOff>
      <xdr:row>67</xdr:row>
      <xdr:rowOff>11206</xdr:rowOff>
    </xdr:to>
    <xdr:graphicFrame macro="">
      <xdr:nvGraphicFramePr>
        <xdr:cNvPr id="3" name="Grafiek 2">
          <a:extLst>
            <a:ext uri="{FF2B5EF4-FFF2-40B4-BE49-F238E27FC236}">
              <a16:creationId xmlns:a16="http://schemas.microsoft.com/office/drawing/2014/main" id="{E5D7D713-7F34-974B-84FC-9E4CBFAEC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31</xdr:row>
      <xdr:rowOff>4005</xdr:rowOff>
    </xdr:from>
    <xdr:to>
      <xdr:col>3</xdr:col>
      <xdr:colOff>0</xdr:colOff>
      <xdr:row>61</xdr:row>
      <xdr:rowOff>11207</xdr:rowOff>
    </xdr:to>
    <xdr:graphicFrame macro="">
      <xdr:nvGraphicFramePr>
        <xdr:cNvPr id="3" name="Grafiek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879362</xdr:colOff>
      <xdr:row>31</xdr:row>
      <xdr:rowOff>0</xdr:rowOff>
    </xdr:from>
    <xdr:to>
      <xdr:col>7</xdr:col>
      <xdr:colOff>11206</xdr:colOff>
      <xdr:row>61</xdr:row>
      <xdr:rowOff>22411</xdr:rowOff>
    </xdr:to>
    <xdr:graphicFrame macro="">
      <xdr:nvGraphicFramePr>
        <xdr:cNvPr id="4" name="Grafiek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38</xdr:row>
      <xdr:rowOff>145677</xdr:rowOff>
    </xdr:from>
    <xdr:to>
      <xdr:col>4</xdr:col>
      <xdr:colOff>777240</xdr:colOff>
      <xdr:row>68</xdr:row>
      <xdr:rowOff>11206</xdr:rowOff>
    </xdr:to>
    <xdr:graphicFrame macro="">
      <xdr:nvGraphicFramePr>
        <xdr:cNvPr id="2" name="Grafiek 1">
          <a:extLst>
            <a:ext uri="{FF2B5EF4-FFF2-40B4-BE49-F238E27FC236}">
              <a16:creationId xmlns:a16="http://schemas.microsoft.com/office/drawing/2014/main" id="{566B9D0B-B91D-1A42-998F-EB4E25224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973043</xdr:colOff>
      <xdr:row>38</xdr:row>
      <xdr:rowOff>149677</xdr:rowOff>
    </xdr:from>
    <xdr:to>
      <xdr:col>8</xdr:col>
      <xdr:colOff>1765300</xdr:colOff>
      <xdr:row>68</xdr:row>
      <xdr:rowOff>11206</xdr:rowOff>
    </xdr:to>
    <xdr:graphicFrame macro="">
      <xdr:nvGraphicFramePr>
        <xdr:cNvPr id="3" name="Grafiek 2">
          <a:extLst>
            <a:ext uri="{FF2B5EF4-FFF2-40B4-BE49-F238E27FC236}">
              <a16:creationId xmlns:a16="http://schemas.microsoft.com/office/drawing/2014/main" id="{EB981C91-0BEF-554E-8F56-06BDEB030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69144</xdr:colOff>
      <xdr:row>43</xdr:row>
      <xdr:rowOff>21165</xdr:rowOff>
    </xdr:from>
    <xdr:to>
      <xdr:col>6</xdr:col>
      <xdr:colOff>348544</xdr:colOff>
      <xdr:row>62</xdr:row>
      <xdr:rowOff>101600</xdr:rowOff>
    </xdr:to>
    <xdr:graphicFrame macro="">
      <xdr:nvGraphicFramePr>
        <xdr:cNvPr id="23" name="Grafiek 22">
          <a:extLst>
            <a:ext uri="{FF2B5EF4-FFF2-40B4-BE49-F238E27FC236}">
              <a16:creationId xmlns:a16="http://schemas.microsoft.com/office/drawing/2014/main" id="{74940764-12B2-1B47-BA12-6FC286D48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326465</xdr:colOff>
      <xdr:row>24</xdr:row>
      <xdr:rowOff>124758</xdr:rowOff>
    </xdr:from>
    <xdr:to>
      <xdr:col>12</xdr:col>
      <xdr:colOff>59765</xdr:colOff>
      <xdr:row>33</xdr:row>
      <xdr:rowOff>165099</xdr:rowOff>
    </xdr:to>
    <xdr:sp macro="" textlink="">
      <xdr:nvSpPr>
        <xdr:cNvPr id="3" name="Rechthoek 2">
          <a:extLst>
            <a:ext uri="{FF2B5EF4-FFF2-40B4-BE49-F238E27FC236}">
              <a16:creationId xmlns:a16="http://schemas.microsoft.com/office/drawing/2014/main" id="{913758C0-BD5D-0E46-8D3F-70B6C05EC0CD}"/>
            </a:ext>
          </a:extLst>
        </xdr:cNvPr>
        <xdr:cNvSpPr/>
      </xdr:nvSpPr>
      <xdr:spPr>
        <a:xfrm>
          <a:off x="4136465" y="5001558"/>
          <a:ext cx="7353300" cy="186914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0</xdr:col>
      <xdr:colOff>120703</xdr:colOff>
      <xdr:row>16</xdr:row>
      <xdr:rowOff>174366</xdr:rowOff>
    </xdr:from>
    <xdr:to>
      <xdr:col>6</xdr:col>
      <xdr:colOff>430388</xdr:colOff>
      <xdr:row>31</xdr:row>
      <xdr:rowOff>3581</xdr:rowOff>
    </xdr:to>
    <xdr:pic>
      <xdr:nvPicPr>
        <xdr:cNvPr id="4" name="Afbeelding 3">
          <a:extLst>
            <a:ext uri="{FF2B5EF4-FFF2-40B4-BE49-F238E27FC236}">
              <a16:creationId xmlns:a16="http://schemas.microsoft.com/office/drawing/2014/main" id="{0D55604C-9098-AF40-952B-AE42EF450B1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0703" y="3448144"/>
          <a:ext cx="6024685" cy="2898381"/>
        </a:xfrm>
        <a:prstGeom prst="rect">
          <a:avLst/>
        </a:prstGeom>
      </xdr:spPr>
    </xdr:pic>
    <xdr:clientData/>
  </xdr:twoCellAnchor>
  <xdr:twoCellAnchor>
    <xdr:from>
      <xdr:col>0</xdr:col>
      <xdr:colOff>72493</xdr:colOff>
      <xdr:row>0</xdr:row>
      <xdr:rowOff>95250</xdr:rowOff>
    </xdr:from>
    <xdr:to>
      <xdr:col>10</xdr:col>
      <xdr:colOff>317500</xdr:colOff>
      <xdr:row>9</xdr:row>
      <xdr:rowOff>0</xdr:rowOff>
    </xdr:to>
    <xdr:sp macro="" textlink="">
      <xdr:nvSpPr>
        <xdr:cNvPr id="5" name="Tekstvak 4">
          <a:extLst>
            <a:ext uri="{FF2B5EF4-FFF2-40B4-BE49-F238E27FC236}">
              <a16:creationId xmlns:a16="http://schemas.microsoft.com/office/drawing/2014/main" id="{BF63335B-2CDF-5049-AA43-3FF9FF0BD74F}"/>
            </a:ext>
          </a:extLst>
        </xdr:cNvPr>
        <xdr:cNvSpPr txBox="1"/>
      </xdr:nvSpPr>
      <xdr:spPr>
        <a:xfrm>
          <a:off x="72493" y="95250"/>
          <a:ext cx="9770007"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5000" b="1">
              <a:solidFill>
                <a:sysClr val="windowText" lastClr="000000"/>
              </a:solidFill>
              <a:latin typeface="Arial" panose="020B0604020202020204" pitchFamily="34" charset="0"/>
              <a:cs typeface="Arial" panose="020B0604020202020204" pitchFamily="34" charset="0"/>
            </a:rPr>
            <a:t>Kreeft</a:t>
          </a:r>
          <a:endParaRPr lang="nl-NL" sz="5000" b="1" baseline="0">
            <a:solidFill>
              <a:sysClr val="windowText" lastClr="000000"/>
            </a:solidFill>
            <a:latin typeface="Arial" panose="020B0604020202020204" pitchFamily="34" charset="0"/>
            <a:cs typeface="Arial" panose="020B0604020202020204" pitchFamily="34" charset="0"/>
          </a:endParaRPr>
        </a:p>
        <a:p>
          <a:pPr algn="ctr"/>
          <a:r>
            <a:rPr lang="nl-NL" sz="3200" i="1" baseline="0">
              <a:solidFill>
                <a:sysClr val="windowText" lastClr="000000"/>
              </a:solidFill>
              <a:latin typeface="Arial" panose="020B0604020202020204" pitchFamily="34" charset="0"/>
              <a:cs typeface="Arial" panose="020B0604020202020204" pitchFamily="34" charset="0"/>
            </a:rPr>
            <a:t>Betonrenovatie &amp; Injectietechnieken</a:t>
          </a:r>
          <a:endParaRPr lang="nl-NL" sz="32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122115</xdr:colOff>
      <xdr:row>9</xdr:row>
      <xdr:rowOff>10583</xdr:rowOff>
    </xdr:from>
    <xdr:to>
      <xdr:col>6</xdr:col>
      <xdr:colOff>428143</xdr:colOff>
      <xdr:row>21</xdr:row>
      <xdr:rowOff>38100</xdr:rowOff>
    </xdr:to>
    <xdr:sp macro="" textlink="">
      <xdr:nvSpPr>
        <xdr:cNvPr id="6" name="Tekstvak 5">
          <a:extLst>
            <a:ext uri="{FF2B5EF4-FFF2-40B4-BE49-F238E27FC236}">
              <a16:creationId xmlns:a16="http://schemas.microsoft.com/office/drawing/2014/main" id="{2AC58AA7-6BF1-5840-AB01-B18776A58C95}"/>
            </a:ext>
          </a:extLst>
        </xdr:cNvPr>
        <xdr:cNvSpPr txBox="1"/>
      </xdr:nvSpPr>
      <xdr:spPr>
        <a:xfrm>
          <a:off x="122115" y="1839383"/>
          <a:ext cx="6021028" cy="2465917"/>
        </a:xfrm>
        <a:prstGeom prst="rect">
          <a:avLst/>
        </a:prstGeom>
        <a:solidFill>
          <a:srgbClr val="EE2E2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lang="nl-NL" sz="1400" b="1">
              <a:solidFill>
                <a:schemeClr val="bg1"/>
              </a:solidFill>
              <a:latin typeface="Arial" panose="020B0604020202020204" pitchFamily="34" charset="0"/>
              <a:cs typeface="Arial" panose="020B0604020202020204" pitchFamily="34" charset="0"/>
            </a:rPr>
            <a:t>Dit willen we bereiken</a:t>
          </a:r>
        </a:p>
        <a:p>
          <a:pPr algn="l"/>
          <a:endParaRPr lang="nl-NL" sz="1400">
            <a:solidFill>
              <a:schemeClr val="bg1"/>
            </a:solidFill>
            <a:latin typeface="Arial" panose="020B0604020202020204" pitchFamily="34" charset="0"/>
            <a:cs typeface="Arial" panose="020B0604020202020204" pitchFamily="34" charset="0"/>
          </a:endParaRPr>
        </a:p>
        <a:p>
          <a:r>
            <a:rPr lang="nl-NL" sz="1400">
              <a:solidFill>
                <a:schemeClr val="bg1"/>
              </a:solidFill>
              <a:effectLst/>
              <a:latin typeface="+mn-lt"/>
              <a:ea typeface="+mn-ea"/>
              <a:cs typeface="+mn-cs"/>
            </a:rPr>
            <a:t>Kreeft wil voor 2025 de CO2-uitstoot van haar </a:t>
          </a:r>
          <a:r>
            <a:rPr lang="nl-NL" sz="1400" b="1">
              <a:solidFill>
                <a:schemeClr val="bg1"/>
              </a:solidFill>
              <a:effectLst/>
              <a:latin typeface="+mn-lt"/>
              <a:ea typeface="+mn-ea"/>
              <a:cs typeface="+mn-cs"/>
            </a:rPr>
            <a:t>wagenpark </a:t>
          </a:r>
          <a:r>
            <a:rPr lang="nl-NL" sz="1400">
              <a:solidFill>
                <a:schemeClr val="bg1"/>
              </a:solidFill>
              <a:effectLst/>
              <a:latin typeface="+mn-lt"/>
              <a:ea typeface="+mn-ea"/>
              <a:cs typeface="+mn-cs"/>
            </a:rPr>
            <a:t>met 20 procent reduceren t.o.v. het jaar 2017, gerelateerd aan de verreden kilometers. </a:t>
          </a:r>
        </a:p>
        <a:p>
          <a:pPr algn="l"/>
          <a:endParaRPr lang="nl-NL" sz="1400" baseline="0">
            <a:solidFill>
              <a:schemeClr val="bg1"/>
            </a:solidFill>
            <a:latin typeface="Arial" panose="020B0604020202020204" pitchFamily="34" charset="0"/>
            <a:cs typeface="Arial" panose="020B0604020202020204" pitchFamily="34" charset="0"/>
          </a:endParaRPr>
        </a:p>
        <a:p>
          <a:r>
            <a:rPr lang="nl-NL" sz="1400">
              <a:solidFill>
                <a:schemeClr val="bg1"/>
              </a:solidFill>
              <a:effectLst/>
              <a:latin typeface="+mn-lt"/>
              <a:ea typeface="+mn-ea"/>
              <a:cs typeface="+mn-cs"/>
            </a:rPr>
            <a:t>Kreeft wil voor 2025 de CO2-uitstoot van haar </a:t>
          </a:r>
          <a:r>
            <a:rPr lang="nl-NL" sz="1400" b="1">
              <a:solidFill>
                <a:schemeClr val="bg1"/>
              </a:solidFill>
              <a:effectLst/>
              <a:latin typeface="+mn-lt"/>
              <a:ea typeface="+mn-ea"/>
              <a:cs typeface="+mn-cs"/>
            </a:rPr>
            <a:t>verwarming </a:t>
          </a:r>
          <a:r>
            <a:rPr lang="nl-NL" sz="1400">
              <a:solidFill>
                <a:schemeClr val="bg1"/>
              </a:solidFill>
              <a:effectLst/>
              <a:latin typeface="+mn-lt"/>
              <a:ea typeface="+mn-ea"/>
              <a:cs typeface="+mn-cs"/>
            </a:rPr>
            <a:t>met 50 procent reduceren t.o.v.het jaar 2017, gerelateerd aan de graaddagen. </a:t>
          </a:r>
        </a:p>
        <a:p>
          <a:pPr algn="l"/>
          <a:endParaRPr lang="nl-NL" sz="1400" baseline="0">
            <a:solidFill>
              <a:schemeClr val="bg1"/>
            </a:solidFill>
            <a:latin typeface="Arial" panose="020B0604020202020204" pitchFamily="34" charset="0"/>
            <a:cs typeface="Arial" panose="020B0604020202020204" pitchFamily="34" charset="0"/>
          </a:endParaRPr>
        </a:p>
        <a:p>
          <a:r>
            <a:rPr lang="nl-NL" sz="1400">
              <a:solidFill>
                <a:schemeClr val="bg1"/>
              </a:solidFill>
              <a:effectLst/>
              <a:latin typeface="+mn-lt"/>
              <a:ea typeface="+mn-ea"/>
              <a:cs typeface="+mn-cs"/>
            </a:rPr>
            <a:t>Kreeft wil voor 2025 de CO2-uitstoot van haar </a:t>
          </a:r>
          <a:r>
            <a:rPr lang="nl-NL" sz="1400" b="1">
              <a:solidFill>
                <a:schemeClr val="bg1"/>
              </a:solidFill>
              <a:effectLst/>
              <a:latin typeface="+mn-lt"/>
              <a:ea typeface="+mn-ea"/>
              <a:cs typeface="+mn-cs"/>
            </a:rPr>
            <a:t>elektriciteitsverbruik </a:t>
          </a:r>
          <a:r>
            <a:rPr lang="nl-NL" sz="1400">
              <a:solidFill>
                <a:schemeClr val="bg1"/>
              </a:solidFill>
              <a:effectLst/>
              <a:latin typeface="+mn-lt"/>
              <a:ea typeface="+mn-ea"/>
              <a:cs typeface="+mn-cs"/>
            </a:rPr>
            <a:t>met 100 procent reduceren t.o.v. het jaar 2017, gerelateerd aan het aantal FTE’s op kantoor. </a:t>
          </a:r>
          <a:endParaRPr lang="nl-NL" sz="1400">
            <a:solidFill>
              <a:schemeClr val="bg1"/>
            </a:solidFill>
          </a:endParaRPr>
        </a:p>
      </xdr:txBody>
    </xdr:sp>
    <xdr:clientData/>
  </xdr:twoCellAnchor>
  <xdr:twoCellAnchor>
    <xdr:from>
      <xdr:col>10</xdr:col>
      <xdr:colOff>740833</xdr:colOff>
      <xdr:row>0</xdr:row>
      <xdr:rowOff>179917</xdr:rowOff>
    </xdr:from>
    <xdr:to>
      <xdr:col>17</xdr:col>
      <xdr:colOff>867832</xdr:colOff>
      <xdr:row>11</xdr:row>
      <xdr:rowOff>42334</xdr:rowOff>
    </xdr:to>
    <xdr:sp macro="" textlink="">
      <xdr:nvSpPr>
        <xdr:cNvPr id="7" name="Tekstvak 6">
          <a:extLst>
            <a:ext uri="{FF2B5EF4-FFF2-40B4-BE49-F238E27FC236}">
              <a16:creationId xmlns:a16="http://schemas.microsoft.com/office/drawing/2014/main" id="{DF7CF467-F9ED-E84F-A155-8A05D8894700}"/>
            </a:ext>
          </a:extLst>
        </xdr:cNvPr>
        <xdr:cNvSpPr txBox="1"/>
      </xdr:nvSpPr>
      <xdr:spPr>
        <a:xfrm>
          <a:off x="10265833" y="179917"/>
          <a:ext cx="6794499" cy="2074334"/>
        </a:xfrm>
        <a:prstGeom prst="rect">
          <a:avLst/>
        </a:prstGeom>
        <a:solidFill>
          <a:srgbClr val="EE2E24"/>
        </a:solidFill>
        <a:ln w="9525" cmpd="sng">
          <a:solidFill>
            <a:srgbClr val="EE2E2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800"/>
            </a:lnSpc>
          </a:pPr>
          <a:r>
            <a:rPr lang="nl-NL" sz="1400" b="0" i="0" u="none" strike="noStrike">
              <a:solidFill>
                <a:schemeClr val="bg1"/>
              </a:solidFill>
              <a:effectLst/>
              <a:latin typeface="+mn-lt"/>
              <a:ea typeface="+mn-ea"/>
              <a:cs typeface="+mn-cs"/>
            </a:rPr>
            <a:t>Naast kwaliteit heeft Kreeft ook oog voor het milieu. Daarom hebben Roelof en Rudie in 2012 besloten om zich te certificeren voor de CO2 prestatieladder van Stichting Klimaatvriendelijk Aanbesteden &amp; Ondernemen (SKAO). Vanaf 2013 is Kreeft de trotse bezitter van het CO2- certificaat op niveau 3. Door de certificering heeft Kreeft meer inzicht gekregen in hun CO2-uitstoot en zijn er maatregelen genomen om deze terug te brengen zoals spaar,- en ledlampen, duurzaam kantoorapparatuur,</a:t>
          </a:r>
          <a:r>
            <a:rPr lang="nl-NL" sz="1400" b="0" i="0" u="none" strike="noStrike" baseline="0">
              <a:solidFill>
                <a:schemeClr val="bg1"/>
              </a:solidFill>
              <a:effectLst/>
              <a:latin typeface="+mn-lt"/>
              <a:ea typeface="+mn-ea"/>
              <a:cs typeface="+mn-cs"/>
            </a:rPr>
            <a:t> </a:t>
          </a:r>
          <a:r>
            <a:rPr lang="nl-NL" sz="1400" b="0" i="0" u="none" strike="noStrike">
              <a:solidFill>
                <a:schemeClr val="bg1"/>
              </a:solidFill>
              <a:effectLst/>
              <a:latin typeface="+mn-lt"/>
              <a:ea typeface="+mn-ea"/>
              <a:cs typeface="+mn-cs"/>
            </a:rPr>
            <a:t>een workshop het Nieuwe Rijden en het</a:t>
          </a:r>
          <a:r>
            <a:rPr lang="nl-NL" sz="1400" b="0" i="0" u="none" strike="noStrike" baseline="0">
              <a:solidFill>
                <a:schemeClr val="bg1"/>
              </a:solidFill>
              <a:effectLst/>
              <a:latin typeface="+mn-lt"/>
              <a:ea typeface="+mn-ea"/>
              <a:cs typeface="+mn-cs"/>
            </a:rPr>
            <a:t> verduurzamen van het wagenpark</a:t>
          </a:r>
          <a:r>
            <a:rPr lang="nl-NL" sz="1400" b="0" i="0" u="none" strike="noStrike">
              <a:solidFill>
                <a:schemeClr val="bg1"/>
              </a:solidFill>
              <a:effectLst/>
              <a:latin typeface="+mn-lt"/>
              <a:ea typeface="+mn-ea"/>
              <a:cs typeface="+mn-cs"/>
            </a:rPr>
            <a:t>. Er is een programma opgesteld met doelstellingen om het elektriciteit-, gas- en brandstofverbruik te verminderen.</a:t>
          </a:r>
          <a:endParaRPr lang="nl-NL" sz="1400" b="1" i="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6</xdr:col>
      <xdr:colOff>421221</xdr:colOff>
      <xdr:row>43</xdr:row>
      <xdr:rowOff>4235</xdr:rowOff>
    </xdr:from>
    <xdr:to>
      <xdr:col>10</xdr:col>
      <xdr:colOff>749300</xdr:colOff>
      <xdr:row>62</xdr:row>
      <xdr:rowOff>165100</xdr:rowOff>
    </xdr:to>
    <xdr:sp macro="" textlink="">
      <xdr:nvSpPr>
        <xdr:cNvPr id="9" name="Tekstvak 8">
          <a:extLst>
            <a:ext uri="{FF2B5EF4-FFF2-40B4-BE49-F238E27FC236}">
              <a16:creationId xmlns:a16="http://schemas.microsoft.com/office/drawing/2014/main" id="{FC7F55DC-F5DA-7246-930C-87F007F20FBC}"/>
            </a:ext>
          </a:extLst>
        </xdr:cNvPr>
        <xdr:cNvSpPr txBox="1"/>
      </xdr:nvSpPr>
      <xdr:spPr>
        <a:xfrm>
          <a:off x="6136221" y="8741835"/>
          <a:ext cx="4138079" cy="4021665"/>
        </a:xfrm>
        <a:prstGeom prst="rect">
          <a:avLst/>
        </a:prstGeom>
        <a:solidFill>
          <a:srgbClr val="EE2E2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lang="nl-NL" sz="1400" b="1" baseline="0">
              <a:solidFill>
                <a:schemeClr val="bg1"/>
              </a:solidFill>
              <a:latin typeface="Arial" panose="020B0604020202020204" pitchFamily="34" charset="0"/>
              <a:cs typeface="Arial" panose="020B0604020202020204" pitchFamily="34" charset="0"/>
            </a:rPr>
            <a:t>Dit hebben wij al gedaan</a:t>
          </a:r>
          <a:endParaRPr lang="nl-NL" sz="1400" baseline="0">
            <a:solidFill>
              <a:schemeClr val="bg1"/>
            </a:solidFill>
            <a:latin typeface="Arial" panose="020B0604020202020204" pitchFamily="34" charset="0"/>
            <a:cs typeface="Arial" panose="020B0604020202020204" pitchFamily="34" charset="0"/>
          </a:endParaRPr>
        </a:p>
        <a:p>
          <a:pPr marL="0" marR="0" lvl="0" indent="0" defTabSz="914400" eaLnBrk="1" fontAlgn="auto" latinLnBrk="0" hangingPunct="1">
            <a:lnSpc>
              <a:spcPts val="2000"/>
            </a:lnSpc>
            <a:spcBef>
              <a:spcPts val="0"/>
            </a:spcBef>
            <a:spcAft>
              <a:spcPts val="0"/>
            </a:spcAft>
            <a:buClrTx/>
            <a:buSzTx/>
            <a:buFontTx/>
            <a:buNone/>
            <a:tabLst/>
            <a:defRPr/>
          </a:pPr>
          <a:r>
            <a:rPr lang="nl-NL" sz="1400" baseline="0">
              <a:solidFill>
                <a:schemeClr val="bg1"/>
              </a:solidFill>
              <a:latin typeface="Arial" panose="020B0604020202020204" pitchFamily="34" charset="0"/>
              <a:cs typeface="Arial" panose="020B0604020202020204" pitchFamily="34" charset="0"/>
            </a:rPr>
            <a:t>De afgelopen tijd zijn diverse nieuwe bussen (Euro 6) en een elektrische auto aangeschaft. </a:t>
          </a:r>
        </a:p>
        <a:p>
          <a:pPr lvl="0">
            <a:lnSpc>
              <a:spcPts val="2000"/>
            </a:lnSpc>
          </a:pPr>
          <a:endParaRPr lang="nl-NL" sz="1400" baseline="0">
            <a:solidFill>
              <a:schemeClr val="bg1"/>
            </a:solidFill>
            <a:latin typeface="Arial" panose="020B0604020202020204" pitchFamily="34" charset="0"/>
            <a:cs typeface="Arial" panose="020B0604020202020204" pitchFamily="34" charset="0"/>
          </a:endParaRPr>
        </a:p>
        <a:p>
          <a:pPr lvl="0">
            <a:lnSpc>
              <a:spcPts val="2000"/>
            </a:lnSpc>
          </a:pPr>
          <a:r>
            <a:rPr lang="nl-NL" sz="1400" baseline="0">
              <a:solidFill>
                <a:schemeClr val="bg1"/>
              </a:solidFill>
              <a:latin typeface="Arial" panose="020B0604020202020204" pitchFamily="34" charset="0"/>
              <a:cs typeface="Arial" panose="020B0604020202020204" pitchFamily="34" charset="0"/>
            </a:rPr>
            <a:t>In de grafiek rechtsboven is te zien dat de CO</a:t>
          </a:r>
          <a:r>
            <a:rPr lang="nl-NL" sz="1400" baseline="-25000">
              <a:solidFill>
                <a:schemeClr val="bg1"/>
              </a:solidFill>
              <a:latin typeface="Arial" panose="020B0604020202020204" pitchFamily="34" charset="0"/>
              <a:cs typeface="Arial" panose="020B0604020202020204" pitchFamily="34" charset="0"/>
            </a:rPr>
            <a:t>2</a:t>
          </a:r>
          <a:r>
            <a:rPr lang="nl-NL" sz="1400" baseline="0">
              <a:solidFill>
                <a:schemeClr val="bg1"/>
              </a:solidFill>
              <a:latin typeface="Arial" panose="020B0604020202020204" pitchFamily="34" charset="0"/>
              <a:cs typeface="Arial" panose="020B0604020202020204" pitchFamily="34" charset="0"/>
            </a:rPr>
            <a:t>-uitstoot lager is dan 2017. Dit wordt vooral veroorzaakt door het vergroenen van de elektriciteit en het verduurzamen van het wagenpark. </a:t>
          </a:r>
        </a:p>
        <a:p>
          <a:pPr lvl="0">
            <a:lnSpc>
              <a:spcPts val="2000"/>
            </a:lnSpc>
          </a:pPr>
          <a:r>
            <a:rPr lang="nl-NL" sz="1400" baseline="0">
              <a:solidFill>
                <a:schemeClr val="bg1"/>
              </a:solidFill>
              <a:latin typeface="Arial" panose="020B0604020202020204" pitchFamily="34" charset="0"/>
              <a:cs typeface="Arial" panose="020B0604020202020204" pitchFamily="34" charset="0"/>
            </a:rPr>
            <a:t>Ook is goed zichtbaar dat we onze elektriciteit hebben vergroend. Dit zorgt er voor dat de CO2-uitstoot gereduceerd is naar 0.</a:t>
          </a:r>
        </a:p>
        <a:p>
          <a:pPr marL="0" marR="0" lvl="0" indent="0" defTabSz="914400" eaLnBrk="1" fontAlgn="auto" latinLnBrk="0" hangingPunct="1">
            <a:lnSpc>
              <a:spcPts val="2000"/>
            </a:lnSpc>
            <a:spcBef>
              <a:spcPts val="0"/>
            </a:spcBef>
            <a:spcAft>
              <a:spcPts val="0"/>
            </a:spcAft>
            <a:buClrTx/>
            <a:buSzTx/>
            <a:buFontTx/>
            <a:buNone/>
            <a:tabLst/>
            <a:defRPr/>
          </a:pPr>
          <a:endParaRPr lang="nl-NL" sz="1400" baseline="0">
            <a:solidFill>
              <a:schemeClr val="bg1"/>
            </a:solidFill>
            <a:latin typeface="Arial" panose="020B0604020202020204" pitchFamily="34" charset="0"/>
            <a:cs typeface="Arial" panose="020B0604020202020204" pitchFamily="34" charset="0"/>
          </a:endParaRPr>
        </a:p>
        <a:p>
          <a:pPr marL="0" marR="0" lvl="0" indent="0" defTabSz="914400" eaLnBrk="1" fontAlgn="auto" latinLnBrk="0" hangingPunct="1">
            <a:lnSpc>
              <a:spcPts val="2000"/>
            </a:lnSpc>
            <a:spcBef>
              <a:spcPts val="0"/>
            </a:spcBef>
            <a:spcAft>
              <a:spcPts val="0"/>
            </a:spcAft>
            <a:buClrTx/>
            <a:buSzTx/>
            <a:buFontTx/>
            <a:buNone/>
            <a:tabLst/>
            <a:defRPr/>
          </a:pPr>
          <a:r>
            <a:rPr lang="nl-NL" sz="1400" baseline="0">
              <a:solidFill>
                <a:schemeClr val="bg1"/>
              </a:solidFill>
              <a:latin typeface="Arial" panose="020B0604020202020204" pitchFamily="34" charset="0"/>
              <a:cs typeface="Arial" panose="020B0604020202020204" pitchFamily="34" charset="0"/>
            </a:rPr>
            <a:t>We hebben er vertrouwen in dat dat we onze doelstelling in 2025 zullen behalen.</a:t>
          </a:r>
        </a:p>
      </xdr:txBody>
    </xdr:sp>
    <xdr:clientData/>
  </xdr:twoCellAnchor>
  <xdr:twoCellAnchor>
    <xdr:from>
      <xdr:col>0</xdr:col>
      <xdr:colOff>120703</xdr:colOff>
      <xdr:row>30</xdr:row>
      <xdr:rowOff>188961</xdr:rowOff>
    </xdr:from>
    <xdr:to>
      <xdr:col>6</xdr:col>
      <xdr:colOff>421921</xdr:colOff>
      <xdr:row>43</xdr:row>
      <xdr:rowOff>18143</xdr:rowOff>
    </xdr:to>
    <xdr:sp macro="" textlink="">
      <xdr:nvSpPr>
        <xdr:cNvPr id="10" name="Tekstvak 9">
          <a:extLst>
            <a:ext uri="{FF2B5EF4-FFF2-40B4-BE49-F238E27FC236}">
              <a16:creationId xmlns:a16="http://schemas.microsoft.com/office/drawing/2014/main" id="{674713E8-453F-6E4C-80D4-542B456DCF71}"/>
            </a:ext>
          </a:extLst>
        </xdr:cNvPr>
        <xdr:cNvSpPr txBox="1"/>
      </xdr:nvSpPr>
      <xdr:spPr>
        <a:xfrm>
          <a:off x="120703" y="6176104"/>
          <a:ext cx="6016218" cy="2423610"/>
        </a:xfrm>
        <a:prstGeom prst="rect">
          <a:avLst/>
        </a:prstGeom>
        <a:solidFill>
          <a:srgbClr val="EE2E2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nSpc>
              <a:spcPts val="1600"/>
            </a:lnSpc>
          </a:pPr>
          <a:r>
            <a:rPr lang="nl-NL" sz="1400" b="1" baseline="0">
              <a:solidFill>
                <a:schemeClr val="bg1"/>
              </a:solidFill>
              <a:latin typeface="Arial" panose="020B0604020202020204" pitchFamily="34" charset="0"/>
              <a:cs typeface="Arial" panose="020B0604020202020204" pitchFamily="34" charset="0"/>
            </a:rPr>
            <a:t>Help je mee?</a:t>
          </a:r>
        </a:p>
        <a:p>
          <a:pPr>
            <a:lnSpc>
              <a:spcPts val="1600"/>
            </a:lnSpc>
          </a:pPr>
          <a:endParaRPr lang="nl-NL" sz="1400" baseline="0">
            <a:solidFill>
              <a:schemeClr val="bg1"/>
            </a:solidFill>
            <a:latin typeface="Arial" panose="020B0604020202020204" pitchFamily="34" charset="0"/>
            <a:cs typeface="Arial" panose="020B0604020202020204" pitchFamily="34" charset="0"/>
          </a:endParaRPr>
        </a:p>
        <a:p>
          <a:pPr>
            <a:lnSpc>
              <a:spcPts val="1600"/>
            </a:lnSpc>
          </a:pPr>
          <a:r>
            <a:rPr lang="nl-NL" sz="1400" baseline="0">
              <a:solidFill>
                <a:schemeClr val="bg1"/>
              </a:solidFill>
              <a:latin typeface="Arial" panose="020B0604020202020204" pitchFamily="34" charset="0"/>
              <a:cs typeface="Arial" panose="020B0604020202020204" pitchFamily="34" charset="0"/>
            </a:rPr>
            <a:t>Houd je bus opgeruimd en neem geen onnodig gewicht mee. Probeer eens of je minder mee kunt nemen en je aan een kleinere bus ook voldoende zou hebben.</a:t>
          </a:r>
        </a:p>
        <a:p>
          <a:pPr>
            <a:lnSpc>
              <a:spcPts val="1600"/>
            </a:lnSpc>
          </a:pPr>
          <a:endParaRPr lang="nl-NL" sz="1400" baseline="0">
            <a:solidFill>
              <a:schemeClr val="bg1"/>
            </a:solidFill>
            <a:latin typeface="Arial" panose="020B0604020202020204" pitchFamily="34" charset="0"/>
            <a:cs typeface="Arial" panose="020B0604020202020204" pitchFamily="34" charset="0"/>
          </a:endParaRPr>
        </a:p>
        <a:p>
          <a:pPr>
            <a:lnSpc>
              <a:spcPts val="1600"/>
            </a:lnSpc>
          </a:pPr>
          <a:r>
            <a:rPr lang="nl-NL" sz="1400" baseline="0">
              <a:solidFill>
                <a:schemeClr val="bg1"/>
              </a:solidFill>
              <a:latin typeface="Arial" panose="020B0604020202020204" pitchFamily="34" charset="0"/>
              <a:cs typeface="Arial" panose="020B0604020202020204" pitchFamily="34" charset="0"/>
            </a:rPr>
            <a:t>Een zuinige rijstijl als je onderweg bent.</a:t>
          </a:r>
        </a:p>
        <a:p>
          <a:pPr>
            <a:lnSpc>
              <a:spcPts val="1600"/>
            </a:lnSpc>
          </a:pPr>
          <a:endParaRPr lang="nl-NL" sz="1400" baseline="0">
            <a:solidFill>
              <a:schemeClr val="bg1"/>
            </a:solidFill>
            <a:latin typeface="Arial" panose="020B0604020202020204" pitchFamily="34" charset="0"/>
            <a:cs typeface="Arial" panose="020B0604020202020204" pitchFamily="34" charset="0"/>
          </a:endParaRPr>
        </a:p>
        <a:p>
          <a:pPr>
            <a:lnSpc>
              <a:spcPts val="1600"/>
            </a:lnSpc>
          </a:pPr>
          <a:r>
            <a:rPr lang="nl-NL" sz="1400" baseline="0">
              <a:solidFill>
                <a:schemeClr val="bg1"/>
              </a:solidFill>
              <a:latin typeface="Arial" panose="020B0604020202020204" pitchFamily="34" charset="0"/>
              <a:cs typeface="Arial" panose="020B0604020202020204" pitchFamily="34" charset="0"/>
            </a:rPr>
            <a:t>Heb je tips? Laat het weten aan Douwe Wijma of Roelof Kreeft!</a:t>
          </a:r>
        </a:p>
      </xdr:txBody>
    </xdr:sp>
    <xdr:clientData/>
  </xdr:twoCellAnchor>
  <xdr:twoCellAnchor>
    <xdr:from>
      <xdr:col>6</xdr:col>
      <xdr:colOff>694675</xdr:colOff>
      <xdr:row>40</xdr:row>
      <xdr:rowOff>76982</xdr:rowOff>
    </xdr:from>
    <xdr:to>
      <xdr:col>10</xdr:col>
      <xdr:colOff>825500</xdr:colOff>
      <xdr:row>41</xdr:row>
      <xdr:rowOff>190500</xdr:rowOff>
    </xdr:to>
    <xdr:sp macro="" textlink="">
      <xdr:nvSpPr>
        <xdr:cNvPr id="11" name="Tekstvak 10">
          <a:hlinkClick xmlns:r="http://schemas.openxmlformats.org/officeDocument/2006/relationships" r:id="rId3"/>
          <a:extLst>
            <a:ext uri="{FF2B5EF4-FFF2-40B4-BE49-F238E27FC236}">
              <a16:creationId xmlns:a16="http://schemas.microsoft.com/office/drawing/2014/main" id="{2F81867A-4B03-0B41-AF8E-8803F24ACC39}"/>
            </a:ext>
          </a:extLst>
        </xdr:cNvPr>
        <xdr:cNvSpPr txBox="1"/>
      </xdr:nvSpPr>
      <xdr:spPr>
        <a:xfrm>
          <a:off x="6409675" y="8204982"/>
          <a:ext cx="3940825" cy="316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400" i="1">
              <a:solidFill>
                <a:srgbClr val="006249"/>
              </a:solidFill>
              <a:latin typeface="Bosch Office Sans" pitchFamily="2" charset="0"/>
            </a:rPr>
            <a:t>Meer informatie vind je op de </a:t>
          </a:r>
          <a:r>
            <a:rPr lang="nl-NL" sz="1400" i="1" u="sng">
              <a:solidFill>
                <a:srgbClr val="006249"/>
              </a:solidFill>
              <a:latin typeface="Bosch Office Sans" pitchFamily="2" charset="0"/>
            </a:rPr>
            <a:t>website</a:t>
          </a:r>
          <a:r>
            <a:rPr lang="nl-NL" sz="1400" i="1">
              <a:solidFill>
                <a:srgbClr val="006249"/>
              </a:solidFill>
              <a:latin typeface="Bosch Office Sans" pitchFamily="2" charset="0"/>
            </a:rPr>
            <a:t>.</a:t>
          </a:r>
          <a:endParaRPr lang="nl-NL" sz="1400" i="1" baseline="0">
            <a:solidFill>
              <a:srgbClr val="006249"/>
            </a:solidFill>
            <a:latin typeface="Bosch Office Sans" pitchFamily="2" charset="0"/>
          </a:endParaRPr>
        </a:p>
      </xdr:txBody>
    </xdr:sp>
    <xdr:clientData/>
  </xdr:twoCellAnchor>
  <xdr:oneCellAnchor>
    <xdr:from>
      <xdr:col>18</xdr:col>
      <xdr:colOff>497417</xdr:colOff>
      <xdr:row>11</xdr:row>
      <xdr:rowOff>179917</xdr:rowOff>
    </xdr:from>
    <xdr:ext cx="184731" cy="264560"/>
    <xdr:sp macro="" textlink="">
      <xdr:nvSpPr>
        <xdr:cNvPr id="14" name="TextBox 3">
          <a:extLst>
            <a:ext uri="{FF2B5EF4-FFF2-40B4-BE49-F238E27FC236}">
              <a16:creationId xmlns:a16="http://schemas.microsoft.com/office/drawing/2014/main" id="{F2A4B2A0-78DF-DB44-B7A3-7CAEF34ADBF0}"/>
            </a:ext>
          </a:extLst>
        </xdr:cNvPr>
        <xdr:cNvSpPr txBox="1"/>
      </xdr:nvSpPr>
      <xdr:spPr>
        <a:xfrm>
          <a:off x="17642417" y="24151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666750</xdr:colOff>
      <xdr:row>10</xdr:row>
      <xdr:rowOff>42333</xdr:rowOff>
    </xdr:from>
    <xdr:ext cx="184731" cy="264560"/>
    <xdr:sp macro="" textlink="">
      <xdr:nvSpPr>
        <xdr:cNvPr id="15" name="TextBox 6">
          <a:extLst>
            <a:ext uri="{FF2B5EF4-FFF2-40B4-BE49-F238E27FC236}">
              <a16:creationId xmlns:a16="http://schemas.microsoft.com/office/drawing/2014/main" id="{36796C46-17B9-414A-8815-8DFB013103D8}"/>
            </a:ext>
          </a:extLst>
        </xdr:cNvPr>
        <xdr:cNvSpPr txBox="1"/>
      </xdr:nvSpPr>
      <xdr:spPr>
        <a:xfrm>
          <a:off x="17811750" y="20743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664634</xdr:colOff>
      <xdr:row>43</xdr:row>
      <xdr:rowOff>100616</xdr:rowOff>
    </xdr:from>
    <xdr:to>
      <xdr:col>6</xdr:col>
      <xdr:colOff>250742</xdr:colOff>
      <xdr:row>47</xdr:row>
      <xdr:rowOff>169333</xdr:rowOff>
    </xdr:to>
    <xdr:sp macro="" textlink="">
      <xdr:nvSpPr>
        <xdr:cNvPr id="19" name="Tekstvak 18">
          <a:extLst>
            <a:ext uri="{FF2B5EF4-FFF2-40B4-BE49-F238E27FC236}">
              <a16:creationId xmlns:a16="http://schemas.microsoft.com/office/drawing/2014/main" id="{5CC6CE69-05D2-634E-A20C-28188ED2C794}"/>
            </a:ext>
          </a:extLst>
        </xdr:cNvPr>
        <xdr:cNvSpPr txBox="1"/>
      </xdr:nvSpPr>
      <xdr:spPr>
        <a:xfrm>
          <a:off x="3522134" y="8898894"/>
          <a:ext cx="2443608" cy="887161"/>
        </a:xfrm>
        <a:prstGeom prst="rect">
          <a:avLst/>
        </a:prstGeom>
        <a:solidFill>
          <a:schemeClr val="bg1"/>
        </a:solidFill>
        <a:ln w="25400" cmpd="sng">
          <a:solidFill>
            <a:srgbClr val="EE2E2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800" b="1" baseline="0">
              <a:solidFill>
                <a:schemeClr val="tx1"/>
              </a:solidFill>
              <a:latin typeface="Arial" panose="020B0604020202020204" pitchFamily="34" charset="0"/>
              <a:cs typeface="Arial" panose="020B0604020202020204" pitchFamily="34" charset="0"/>
            </a:rPr>
            <a:t>CO</a:t>
          </a:r>
          <a:r>
            <a:rPr lang="nl-NL" sz="1800" b="1" baseline="-25000">
              <a:solidFill>
                <a:schemeClr val="tx1"/>
              </a:solidFill>
              <a:latin typeface="Arial" panose="020B0604020202020204" pitchFamily="34" charset="0"/>
              <a:cs typeface="Arial" panose="020B0604020202020204" pitchFamily="34" charset="0"/>
            </a:rPr>
            <a:t>2</a:t>
          </a:r>
          <a:r>
            <a:rPr lang="nl-NL" sz="1800" b="1" baseline="0">
              <a:solidFill>
                <a:schemeClr val="tx1"/>
              </a:solidFill>
              <a:latin typeface="Arial" panose="020B0604020202020204" pitchFamily="34" charset="0"/>
              <a:cs typeface="Arial" panose="020B0604020202020204" pitchFamily="34" charset="0"/>
            </a:rPr>
            <a:t>-footprint 2024 </a:t>
          </a:r>
        </a:p>
        <a:p>
          <a:pPr algn="ctr"/>
          <a:r>
            <a:rPr lang="nl-NL" sz="1400" b="1" baseline="0">
              <a:solidFill>
                <a:schemeClr val="tx1"/>
              </a:solidFill>
              <a:latin typeface="Arial" panose="020B0604020202020204" pitchFamily="34" charset="0"/>
              <a:cs typeface="Arial" panose="020B0604020202020204" pitchFamily="34" charset="0"/>
            </a:rPr>
            <a:t>(ton CO2)</a:t>
          </a:r>
          <a:endParaRPr lang="nl-NL" sz="1400" baseline="0">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7</xdr:col>
      <xdr:colOff>218867</xdr:colOff>
      <xdr:row>10</xdr:row>
      <xdr:rowOff>37028</xdr:rowOff>
    </xdr:from>
    <xdr:to>
      <xdr:col>9</xdr:col>
      <xdr:colOff>951609</xdr:colOff>
      <xdr:row>19</xdr:row>
      <xdr:rowOff>50800</xdr:rowOff>
    </xdr:to>
    <xdr:pic>
      <xdr:nvPicPr>
        <xdr:cNvPr id="20" name="Afbeelding 19">
          <a:extLst>
            <a:ext uri="{FF2B5EF4-FFF2-40B4-BE49-F238E27FC236}">
              <a16:creationId xmlns:a16="http://schemas.microsoft.com/office/drawing/2014/main" id="{7B929C87-BA21-6F4C-A9E5-E8944EB20EC9}"/>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886367" y="2069028"/>
          <a:ext cx="2637742" cy="1842572"/>
        </a:xfrm>
        <a:prstGeom prst="rect">
          <a:avLst/>
        </a:prstGeom>
      </xdr:spPr>
    </xdr:pic>
    <xdr:clientData/>
  </xdr:twoCellAnchor>
  <xdr:twoCellAnchor editAs="oneCell">
    <xdr:from>
      <xdr:col>6</xdr:col>
      <xdr:colOff>927099</xdr:colOff>
      <xdr:row>32</xdr:row>
      <xdr:rowOff>0</xdr:rowOff>
    </xdr:from>
    <xdr:to>
      <xdr:col>10</xdr:col>
      <xdr:colOff>405870</xdr:colOff>
      <xdr:row>39</xdr:row>
      <xdr:rowOff>12700</xdr:rowOff>
    </xdr:to>
    <xdr:pic>
      <xdr:nvPicPr>
        <xdr:cNvPr id="21" name="Afbeelding 20" descr="Voorpagina">
          <a:extLst>
            <a:ext uri="{FF2B5EF4-FFF2-40B4-BE49-F238E27FC236}">
              <a16:creationId xmlns:a16="http://schemas.microsoft.com/office/drawing/2014/main" id="{FF0DDCF8-F6B0-2D52-0BDC-2D8B2B6EB3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642099" y="6502400"/>
          <a:ext cx="3288771"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749301</xdr:colOff>
      <xdr:row>12</xdr:row>
      <xdr:rowOff>38096</xdr:rowOff>
    </xdr:from>
    <xdr:to>
      <xdr:col>17</xdr:col>
      <xdr:colOff>863600</xdr:colOff>
      <xdr:row>43</xdr:row>
      <xdr:rowOff>7604</xdr:rowOff>
    </xdr:to>
    <xdr:graphicFrame macro="">
      <xdr:nvGraphicFramePr>
        <xdr:cNvPr id="22" name="Grafiek 21">
          <a:extLst>
            <a:ext uri="{FF2B5EF4-FFF2-40B4-BE49-F238E27FC236}">
              <a16:creationId xmlns:a16="http://schemas.microsoft.com/office/drawing/2014/main" id="{0F799943-5EBB-5C40-90C9-C73F584CF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417405</xdr:colOff>
      <xdr:row>21</xdr:row>
      <xdr:rowOff>35302</xdr:rowOff>
    </xdr:from>
    <xdr:to>
      <xdr:col>10</xdr:col>
      <xdr:colOff>751417</xdr:colOff>
      <xdr:row>30</xdr:row>
      <xdr:rowOff>190500</xdr:rowOff>
    </xdr:to>
    <xdr:sp macro="" textlink="">
      <xdr:nvSpPr>
        <xdr:cNvPr id="8" name="Tekstvak 7">
          <a:extLst>
            <a:ext uri="{FF2B5EF4-FFF2-40B4-BE49-F238E27FC236}">
              <a16:creationId xmlns:a16="http://schemas.microsoft.com/office/drawing/2014/main" id="{F3E36202-31B2-D04E-AF3C-F6751AE179E4}"/>
            </a:ext>
          </a:extLst>
        </xdr:cNvPr>
        <xdr:cNvSpPr txBox="1"/>
      </xdr:nvSpPr>
      <xdr:spPr>
        <a:xfrm>
          <a:off x="6132405" y="4258052"/>
          <a:ext cx="4144012" cy="1964948"/>
        </a:xfrm>
        <a:prstGeom prst="rect">
          <a:avLst/>
        </a:prstGeom>
        <a:solidFill>
          <a:schemeClr val="bg1"/>
        </a:solidFill>
        <a:ln w="25400" cmpd="sng">
          <a:solidFill>
            <a:srgbClr val="EE2E24"/>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lang="nl-NL" sz="1400" b="1" baseline="0">
              <a:solidFill>
                <a:schemeClr val="tx1"/>
              </a:solidFill>
              <a:latin typeface="Arial" panose="020B0604020202020204" pitchFamily="34" charset="0"/>
              <a:cs typeface="Arial" panose="020B0604020202020204" pitchFamily="34" charset="0"/>
            </a:rPr>
            <a:t>Zo gaan we dit doen</a:t>
          </a:r>
        </a:p>
        <a:p>
          <a:endParaRPr lang="nl-NL" sz="1400" baseline="0">
            <a:solidFill>
              <a:schemeClr val="tx1"/>
            </a:solidFill>
            <a:latin typeface="Arial" panose="020B0604020202020204" pitchFamily="34" charset="0"/>
            <a:cs typeface="Arial" panose="020B0604020202020204" pitchFamily="34" charset="0"/>
          </a:endParaRPr>
        </a:p>
        <a:p>
          <a:r>
            <a:rPr lang="nl-NL" sz="1000" baseline="0">
              <a:solidFill>
                <a:schemeClr val="tx1"/>
              </a:solidFill>
              <a:latin typeface="Arial" panose="020B0604020202020204" pitchFamily="34" charset="0"/>
              <a:cs typeface="Arial" panose="020B0604020202020204" pitchFamily="34" charset="0"/>
              <a:sym typeface="Wingdings" panose="05000000000000000000" pitchFamily="2" charset="2"/>
            </a:rPr>
            <a:t></a:t>
          </a:r>
          <a:r>
            <a:rPr lang="nl-NL" sz="1400" baseline="0">
              <a:solidFill>
                <a:schemeClr val="tx1"/>
              </a:solidFill>
              <a:latin typeface="Arial" panose="020B0604020202020204" pitchFamily="34" charset="0"/>
              <a:cs typeface="Arial" panose="020B0604020202020204" pitchFamily="34" charset="0"/>
            </a:rPr>
            <a:t> Aankoop groene stroom certificaten</a:t>
          </a:r>
        </a:p>
        <a:p>
          <a:endParaRPr lang="nl-NL" sz="1400" baseline="0">
            <a:solidFill>
              <a:schemeClr val="tx1"/>
            </a:solidFill>
            <a:latin typeface="Arial" panose="020B0604020202020204" pitchFamily="34" charset="0"/>
            <a:cs typeface="Arial" panose="020B0604020202020204" pitchFamily="34" charset="0"/>
          </a:endParaRPr>
        </a:p>
        <a:p>
          <a:r>
            <a:rPr lang="nl-NL" sz="1100" baseline="0">
              <a:solidFill>
                <a:schemeClr val="tx1"/>
              </a:solidFill>
              <a:effectLst/>
              <a:latin typeface="Arial" panose="020B0604020202020204" pitchFamily="34" charset="0"/>
              <a:ea typeface="+mn-ea"/>
              <a:cs typeface="Arial" panose="020B0604020202020204" pitchFamily="34" charset="0"/>
              <a:sym typeface="Wingdings" panose="05000000000000000000" pitchFamily="2" charset="2"/>
            </a:rPr>
            <a:t></a:t>
          </a:r>
          <a:r>
            <a:rPr lang="nl-NL" sz="1400" baseline="0">
              <a:solidFill>
                <a:schemeClr val="tx1"/>
              </a:solidFill>
              <a:latin typeface="Arial" panose="020B0604020202020204" pitchFamily="34" charset="0"/>
              <a:cs typeface="Arial" panose="020B0604020202020204" pitchFamily="34" charset="0"/>
            </a:rPr>
            <a:t> Verminderen van de gereden kilometers</a:t>
          </a:r>
        </a:p>
        <a:p>
          <a:endParaRPr lang="nl-NL" sz="1400" baseline="0">
            <a:solidFill>
              <a:schemeClr val="tx1"/>
            </a:solidFill>
            <a:latin typeface="Arial" panose="020B0604020202020204" pitchFamily="34" charset="0"/>
            <a:cs typeface="Arial" panose="020B0604020202020204" pitchFamily="34" charset="0"/>
          </a:endParaRPr>
        </a:p>
        <a:p>
          <a:r>
            <a:rPr lang="nl-NL" sz="1100" baseline="0">
              <a:solidFill>
                <a:schemeClr val="tx1"/>
              </a:solidFill>
              <a:effectLst/>
              <a:latin typeface="Arial" panose="020B0604020202020204" pitchFamily="34" charset="0"/>
              <a:ea typeface="+mn-ea"/>
              <a:cs typeface="Arial" panose="020B0604020202020204" pitchFamily="34" charset="0"/>
              <a:sym typeface="Wingdings" panose="05000000000000000000" pitchFamily="2" charset="2"/>
            </a:rPr>
            <a:t></a:t>
          </a:r>
          <a:r>
            <a:rPr lang="nl-NL" sz="1400" baseline="0">
              <a:solidFill>
                <a:schemeClr val="tx1"/>
              </a:solidFill>
              <a:latin typeface="Arial" panose="020B0604020202020204" pitchFamily="34" charset="0"/>
              <a:cs typeface="Arial" panose="020B0604020202020204" pitchFamily="34" charset="0"/>
            </a:rPr>
            <a:t> Het verduurzamen van het wagenpark</a:t>
          </a:r>
        </a:p>
      </xdr:txBody>
    </xdr:sp>
    <xdr:clientData/>
  </xdr:twoCellAnchor>
  <xdr:twoCellAnchor editAs="oneCell">
    <xdr:from>
      <xdr:col>10</xdr:col>
      <xdr:colOff>749299</xdr:colOff>
      <xdr:row>43</xdr:row>
      <xdr:rowOff>25399</xdr:rowOff>
    </xdr:from>
    <xdr:to>
      <xdr:col>17</xdr:col>
      <xdr:colOff>879929</xdr:colOff>
      <xdr:row>62</xdr:row>
      <xdr:rowOff>163284</xdr:rowOff>
    </xdr:to>
    <xdr:pic>
      <xdr:nvPicPr>
        <xdr:cNvPr id="25" name="Afbeelding 24">
          <a:extLst>
            <a:ext uri="{FF2B5EF4-FFF2-40B4-BE49-F238E27FC236}">
              <a16:creationId xmlns:a16="http://schemas.microsoft.com/office/drawing/2014/main" id="{11B07CDD-730D-A420-E68A-92A4A5112F57}"/>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0274299" y="8606970"/>
          <a:ext cx="6798130" cy="3929743"/>
        </a:xfrm>
        <a:prstGeom prst="rect">
          <a:avLst/>
        </a:prstGeom>
      </xdr:spPr>
    </xdr:pic>
    <xdr:clientData/>
  </xdr:twoCellAnchor>
  <xdr:twoCellAnchor>
    <xdr:from>
      <xdr:col>17</xdr:col>
      <xdr:colOff>95249</xdr:colOff>
      <xdr:row>9</xdr:row>
      <xdr:rowOff>137583</xdr:rowOff>
    </xdr:from>
    <xdr:to>
      <xdr:col>17</xdr:col>
      <xdr:colOff>867835</xdr:colOff>
      <xdr:row>11</xdr:row>
      <xdr:rowOff>42333</xdr:rowOff>
    </xdr:to>
    <xdr:sp macro="" textlink="">
      <xdr:nvSpPr>
        <xdr:cNvPr id="2" name="Tekstvak 1">
          <a:extLst>
            <a:ext uri="{FF2B5EF4-FFF2-40B4-BE49-F238E27FC236}">
              <a16:creationId xmlns:a16="http://schemas.microsoft.com/office/drawing/2014/main" id="{0BFC9DB3-72BC-3AE7-2E10-1F23FB209876}"/>
            </a:ext>
          </a:extLst>
        </xdr:cNvPr>
        <xdr:cNvSpPr txBox="1"/>
      </xdr:nvSpPr>
      <xdr:spPr>
        <a:xfrm>
          <a:off x="16287749" y="1947333"/>
          <a:ext cx="772586" cy="306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Apr-2025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426791</xdr:colOff>
      <xdr:row>56</xdr:row>
      <xdr:rowOff>69692</xdr:rowOff>
    </xdr:from>
    <xdr:to>
      <xdr:col>22</xdr:col>
      <xdr:colOff>727303</xdr:colOff>
      <xdr:row>89</xdr:row>
      <xdr:rowOff>90977</xdr:rowOff>
    </xdr:to>
    <xdr:graphicFrame macro="">
      <xdr:nvGraphicFramePr>
        <xdr:cNvPr id="6" name="Grafiek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426791</xdr:colOff>
      <xdr:row>55</xdr:row>
      <xdr:rowOff>19538</xdr:rowOff>
    </xdr:from>
    <xdr:to>
      <xdr:col>22</xdr:col>
      <xdr:colOff>727303</xdr:colOff>
      <xdr:row>89</xdr:row>
      <xdr:rowOff>120285</xdr:rowOff>
    </xdr:to>
    <xdr:graphicFrame macro="">
      <xdr:nvGraphicFramePr>
        <xdr:cNvPr id="2" name="Grafiek 5">
          <a:extLst>
            <a:ext uri="{FF2B5EF4-FFF2-40B4-BE49-F238E27FC236}">
              <a16:creationId xmlns:a16="http://schemas.microsoft.com/office/drawing/2014/main" id="{75895DEB-7BA0-0E70-5784-DC878A2C92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134471</xdr:rowOff>
    </xdr:from>
    <xdr:to>
      <xdr:col>3</xdr:col>
      <xdr:colOff>0</xdr:colOff>
      <xdr:row>60</xdr:row>
      <xdr:rowOff>145677</xdr:rowOff>
    </xdr:to>
    <xdr:graphicFrame macro="">
      <xdr:nvGraphicFramePr>
        <xdr:cNvPr id="3" name="Grafiek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11207</xdr:colOff>
      <xdr:row>30</xdr:row>
      <xdr:rowOff>138472</xdr:rowOff>
    </xdr:from>
    <xdr:to>
      <xdr:col>7</xdr:col>
      <xdr:colOff>1</xdr:colOff>
      <xdr:row>60</xdr:row>
      <xdr:rowOff>145677</xdr:rowOff>
    </xdr:to>
    <xdr:graphicFrame macro="">
      <xdr:nvGraphicFramePr>
        <xdr:cNvPr id="4" name="Grafiek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56029</xdr:rowOff>
    </xdr:from>
    <xdr:to>
      <xdr:col>3</xdr:col>
      <xdr:colOff>0</xdr:colOff>
      <xdr:row>61</xdr:row>
      <xdr:rowOff>11206</xdr:rowOff>
    </xdr:to>
    <xdr:graphicFrame macro="">
      <xdr:nvGraphicFramePr>
        <xdr:cNvPr id="3" name="Grafiek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5304</xdr:colOff>
      <xdr:row>31</xdr:row>
      <xdr:rowOff>4001</xdr:rowOff>
    </xdr:from>
    <xdr:to>
      <xdr:col>7</xdr:col>
      <xdr:colOff>11206</xdr:colOff>
      <xdr:row>61</xdr:row>
      <xdr:rowOff>11205</xdr:rowOff>
    </xdr:to>
    <xdr:graphicFrame macro="">
      <xdr:nvGraphicFramePr>
        <xdr:cNvPr id="4" name="Grafiek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81644</xdr:rowOff>
    </xdr:from>
    <xdr:to>
      <xdr:col>3</xdr:col>
      <xdr:colOff>0</xdr:colOff>
      <xdr:row>60</xdr:row>
      <xdr:rowOff>1</xdr:rowOff>
    </xdr:to>
    <xdr:graphicFrame macro="">
      <xdr:nvGraphicFramePr>
        <xdr:cNvPr id="3" name="Grafiek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149679</xdr:rowOff>
    </xdr:from>
    <xdr:to>
      <xdr:col>7</xdr:col>
      <xdr:colOff>0</xdr:colOff>
      <xdr:row>60</xdr:row>
      <xdr:rowOff>11206</xdr:rowOff>
    </xdr:to>
    <xdr:graphicFrame macro="">
      <xdr:nvGraphicFramePr>
        <xdr:cNvPr id="4" name="Grafiek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0</xdr:rowOff>
    </xdr:to>
    <xdr:graphicFrame macro="">
      <xdr:nvGraphicFramePr>
        <xdr:cNvPr id="3" name="Grafiek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31</xdr:row>
      <xdr:rowOff>4003</xdr:rowOff>
    </xdr:from>
    <xdr:to>
      <xdr:col>7</xdr:col>
      <xdr:colOff>11206</xdr:colOff>
      <xdr:row>60</xdr:row>
      <xdr:rowOff>11207</xdr:rowOff>
    </xdr:to>
    <xdr:graphicFrame macro="">
      <xdr:nvGraphicFramePr>
        <xdr:cNvPr id="4" name="Grafiek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0</xdr:rowOff>
    </xdr:to>
    <xdr:graphicFrame macro="">
      <xdr:nvGraphicFramePr>
        <xdr:cNvPr id="3" name="Grafiek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16509</xdr:colOff>
      <xdr:row>30</xdr:row>
      <xdr:rowOff>149679</xdr:rowOff>
    </xdr:from>
    <xdr:to>
      <xdr:col>7</xdr:col>
      <xdr:colOff>0</xdr:colOff>
      <xdr:row>60</xdr:row>
      <xdr:rowOff>11207</xdr:rowOff>
    </xdr:to>
    <xdr:graphicFrame macro="">
      <xdr:nvGraphicFramePr>
        <xdr:cNvPr id="4" name="Grafiek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100853</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11206</xdr:rowOff>
    </xdr:to>
    <xdr:graphicFrame macro="">
      <xdr:nvGraphicFramePr>
        <xdr:cNvPr id="3" name="Grafiek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149677</xdr:rowOff>
    </xdr:from>
    <xdr:to>
      <xdr:col>6</xdr:col>
      <xdr:colOff>694764</xdr:colOff>
      <xdr:row>60</xdr:row>
      <xdr:rowOff>11206</xdr:rowOff>
    </xdr:to>
    <xdr:graphicFrame macro="">
      <xdr:nvGraphicFramePr>
        <xdr:cNvPr id="4" name="Grafiek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582705</xdr:colOff>
      <xdr:row>8</xdr:row>
      <xdr:rowOff>0</xdr:rowOff>
    </xdr:from>
    <xdr:to>
      <xdr:col>22</xdr:col>
      <xdr:colOff>0</xdr:colOff>
      <xdr:row>20</xdr:row>
      <xdr:rowOff>17318</xdr:rowOff>
    </xdr:to>
    <xdr:graphicFrame macro="">
      <xdr:nvGraphicFramePr>
        <xdr:cNvPr id="2" name="Grafiek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145677</xdr:rowOff>
    </xdr:from>
    <xdr:to>
      <xdr:col>3</xdr:col>
      <xdr:colOff>0</xdr:colOff>
      <xdr:row>60</xdr:row>
      <xdr:rowOff>11206</xdr:rowOff>
    </xdr:to>
    <xdr:graphicFrame macro="">
      <xdr:nvGraphicFramePr>
        <xdr:cNvPr id="3" name="Grafiek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5303</xdr:colOff>
      <xdr:row>30</xdr:row>
      <xdr:rowOff>149677</xdr:rowOff>
    </xdr:from>
    <xdr:to>
      <xdr:col>6</xdr:col>
      <xdr:colOff>694764</xdr:colOff>
      <xdr:row>60</xdr:row>
      <xdr:rowOff>11206</xdr:rowOff>
    </xdr:to>
    <xdr:graphicFrame macro="">
      <xdr:nvGraphicFramePr>
        <xdr:cNvPr id="4" name="Grafiek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rda/Desktop/Werk/Projecten/Boeve%20Afbouw/CO2/A.%20Inzicht/160725%20CO2%20footprint%20v6%20Boeve%20Afbouw%20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leg"/>
      <sheetName val="3.A.1 Emissie inventaris"/>
      <sheetName val="Energiestromen"/>
      <sheetName val="Footprint 2014"/>
      <sheetName val="Footprint 2015"/>
      <sheetName val="Footprint 2016 H1"/>
      <sheetName val="Trendlijn"/>
      <sheetName val="Wagenpark"/>
      <sheetName val="Gedeclareerde kilometers"/>
      <sheetName val="Materieel"/>
      <sheetName val="Elektriciteit"/>
      <sheetName val="Aardgas"/>
      <sheetName val="Blad1"/>
    </sheetNames>
    <sheetDataSet>
      <sheetData sheetId="0">
        <row r="11">
          <cell r="A11" t="str">
            <v>Scope 2: indirecte CO2-emissie volgend uit ingekochte elektriciteit</v>
          </cell>
        </row>
        <row r="12">
          <cell r="A12" t="str">
            <v>Scope 3: overige indirecte CO2-emissie, waaronder zakelijke vliegreizen en zakelijk gebruik van prive-auto's</v>
          </cell>
        </row>
        <row r="13">
          <cell r="A13" t="str">
            <v>Nee</v>
          </cell>
        </row>
        <row r="14">
          <cell r="A14" t="str">
            <v xml:space="preserve">Verwaarloosbaar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xml"/><Relationship Id="rId4"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8.bin"/><Relationship Id="rId5" Type="http://schemas.openxmlformats.org/officeDocument/2006/relationships/comments" Target="../comments3.xml"/><Relationship Id="rId4"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baseColWidth="10" defaultColWidth="8.83203125" defaultRowHeight="13" x14ac:dyDescent="0.15"/>
  <cols>
    <col min="1" max="1" width="10.33203125" style="1" customWidth="1"/>
    <col min="2" max="2" width="14.33203125" style="1" customWidth="1"/>
    <col min="3" max="3" width="19.1640625" style="1" customWidth="1"/>
    <col min="4" max="4" width="18.6640625" style="1" customWidth="1"/>
    <col min="5" max="5" width="14.83203125" style="1" customWidth="1"/>
    <col min="6" max="6" width="6.33203125" style="1" customWidth="1"/>
    <col min="7" max="7" width="15.5" style="1" bestFit="1" customWidth="1"/>
    <col min="8" max="8" width="6.33203125" style="1" customWidth="1"/>
    <col min="9" max="10" width="8.6640625" style="1" customWidth="1"/>
    <col min="11" max="11" width="22.1640625" style="1" customWidth="1"/>
    <col min="12" max="16384" width="8.83203125" style="1"/>
  </cols>
  <sheetData>
    <row r="1" spans="1:7" ht="25.5" customHeight="1" x14ac:dyDescent="0.2">
      <c r="A1" s="7" t="s">
        <v>17</v>
      </c>
      <c r="B1" s="4"/>
      <c r="C1" s="4"/>
      <c r="D1" s="4"/>
      <c r="E1" s="4"/>
      <c r="F1" s="4"/>
      <c r="G1" s="4"/>
    </row>
    <row r="2" spans="1:7" ht="15" x14ac:dyDescent="0.2">
      <c r="A2" t="s">
        <v>12</v>
      </c>
      <c r="B2" s="5">
        <v>42642</v>
      </c>
      <c r="C2"/>
      <c r="D2"/>
      <c r="E2"/>
      <c r="F2"/>
      <c r="G2"/>
    </row>
    <row r="3" spans="1:7" ht="15" x14ac:dyDescent="0.2">
      <c r="A3" t="s">
        <v>16</v>
      </c>
      <c r="B3">
        <v>2</v>
      </c>
      <c r="C3"/>
      <c r="D3"/>
      <c r="E3"/>
      <c r="F3"/>
      <c r="G3"/>
    </row>
    <row r="4" spans="1:7" ht="15" x14ac:dyDescent="0.2">
      <c r="A4"/>
      <c r="B4"/>
      <c r="C4"/>
      <c r="D4"/>
      <c r="E4"/>
      <c r="F4"/>
      <c r="G4"/>
    </row>
    <row r="5" spans="1:7" ht="72.75" customHeight="1" x14ac:dyDescent="0.15">
      <c r="A5" s="303" t="s">
        <v>66</v>
      </c>
      <c r="B5" s="303"/>
      <c r="C5" s="303"/>
      <c r="D5" s="303"/>
      <c r="E5" s="303"/>
      <c r="F5" s="303"/>
      <c r="G5" s="303"/>
    </row>
    <row r="6" spans="1:7" ht="59.25" customHeight="1" x14ac:dyDescent="0.15">
      <c r="A6" s="303" t="s">
        <v>20</v>
      </c>
      <c r="B6" s="303"/>
      <c r="C6" s="303"/>
      <c r="D6" s="303"/>
      <c r="E6" s="303"/>
      <c r="F6" s="303"/>
      <c r="G6" s="303"/>
    </row>
    <row r="7" spans="1:7" ht="15" x14ac:dyDescent="0.2">
      <c r="A7" s="6" t="s">
        <v>18</v>
      </c>
    </row>
    <row r="8" spans="1:7" ht="15" x14ac:dyDescent="0.2">
      <c r="A8" s="6" t="s">
        <v>19</v>
      </c>
    </row>
    <row r="10" spans="1:7" ht="29.25" customHeight="1" x14ac:dyDescent="0.15">
      <c r="A10" s="303" t="s">
        <v>46</v>
      </c>
      <c r="B10" s="303"/>
      <c r="C10" s="303"/>
      <c r="D10" s="303"/>
      <c r="E10" s="303"/>
      <c r="F10" s="303"/>
      <c r="G10" s="303"/>
    </row>
    <row r="12" spans="1:7" ht="12.75" customHeight="1" x14ac:dyDescent="0.15"/>
    <row r="14" spans="1:7" ht="13.5" customHeight="1" x14ac:dyDescent="0.15">
      <c r="A14" s="19" t="s">
        <v>28</v>
      </c>
    </row>
    <row r="15" spans="1:7" ht="15" customHeight="1" x14ac:dyDescent="0.15">
      <c r="A15" s="19" t="s">
        <v>52</v>
      </c>
    </row>
    <row r="16" spans="1:7" x14ac:dyDescent="0.15">
      <c r="A16" s="20" t="s">
        <v>53</v>
      </c>
    </row>
    <row r="17" ht="38.25" customHeight="1" x14ac:dyDescent="0.15"/>
    <row r="23" ht="12.75" customHeight="1" x14ac:dyDescent="0.15"/>
    <row r="25" ht="13.5" customHeight="1" x14ac:dyDescent="0.15"/>
    <row r="27" ht="13.5" customHeight="1" x14ac:dyDescent="0.15"/>
    <row r="29" ht="13.5" customHeight="1" x14ac:dyDescent="0.15"/>
    <row r="32" ht="13.5" customHeight="1" x14ac:dyDescent="0.15"/>
  </sheetData>
  <mergeCells count="3">
    <mergeCell ref="A5:G5"/>
    <mergeCell ref="A6:G6"/>
    <mergeCell ref="A10:G10"/>
  </mergeCells>
  <pageMargins left="0.23622047244094491" right="0.23622047244094491" top="1.1417322834645669" bottom="0.74803149606299213" header="0.31496062992125984" footer="0.31496062992125984"/>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9"/>
  <sheetViews>
    <sheetView workbookViewId="0">
      <selection activeCell="E20" sqref="E20"/>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169</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94</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2">
      <c r="A11" s="3" t="s">
        <v>160</v>
      </c>
      <c r="B11" s="9">
        <v>1</v>
      </c>
      <c r="C11" s="141">
        <v>112674.48000000008</v>
      </c>
      <c r="D11" s="8" t="s">
        <v>24</v>
      </c>
      <c r="E11" s="29">
        <v>3.3090000000000002</v>
      </c>
      <c r="F11" s="9" t="s">
        <v>88</v>
      </c>
      <c r="G11" s="30">
        <f>C11*E11/1000</f>
        <v>372.83985432000026</v>
      </c>
      <c r="H11" s="38">
        <v>114859.51</v>
      </c>
      <c r="I11" s="2"/>
    </row>
    <row r="12" spans="1:9" ht="15" x14ac:dyDescent="0.2">
      <c r="A12" s="24" t="s">
        <v>98</v>
      </c>
      <c r="B12" s="25"/>
      <c r="C12" s="25"/>
      <c r="D12" s="25"/>
      <c r="E12" s="25"/>
      <c r="F12" s="25"/>
      <c r="G12" s="25"/>
      <c r="H12" s="25"/>
      <c r="I12" s="25"/>
    </row>
    <row r="13" spans="1:9" ht="16" x14ac:dyDescent="0.15">
      <c r="A13" s="3" t="s">
        <v>161</v>
      </c>
      <c r="B13" s="14">
        <v>1</v>
      </c>
      <c r="C13" s="35">
        <f>25*10.5*2</f>
        <v>525</v>
      </c>
      <c r="D13" s="9" t="s">
        <v>25</v>
      </c>
      <c r="E13" s="29">
        <v>1.798</v>
      </c>
      <c r="F13" s="9" t="s">
        <v>88</v>
      </c>
      <c r="G13" s="30">
        <f>C13*E13/1000</f>
        <v>0.94395000000000007</v>
      </c>
      <c r="H13" s="34">
        <v>763.49</v>
      </c>
      <c r="I13" s="2" t="s">
        <v>178</v>
      </c>
    </row>
    <row r="14" spans="1:9" ht="16" x14ac:dyDescent="0.15">
      <c r="A14" s="3" t="s">
        <v>168</v>
      </c>
      <c r="B14" s="14">
        <v>1</v>
      </c>
      <c r="C14" s="35">
        <f>59*10.5*2</f>
        <v>1239</v>
      </c>
      <c r="D14" s="9" t="s">
        <v>167</v>
      </c>
      <c r="E14" s="29">
        <v>1.7250000000000001</v>
      </c>
      <c r="F14" s="9" t="s">
        <v>88</v>
      </c>
      <c r="G14" s="30">
        <f t="shared" ref="G14:G15" si="0">C14*E14/1000</f>
        <v>2.1372750000000003</v>
      </c>
      <c r="H14" s="34">
        <v>1601.54</v>
      </c>
      <c r="I14" s="2"/>
    </row>
    <row r="15" spans="1:9" ht="16" x14ac:dyDescent="0.15">
      <c r="A15" s="3" t="s">
        <v>89</v>
      </c>
      <c r="B15" s="14">
        <v>1</v>
      </c>
      <c r="C15" s="35">
        <v>5578.2399999999989</v>
      </c>
      <c r="D15" s="9" t="s">
        <v>167</v>
      </c>
      <c r="E15" s="29">
        <v>2.8839999999999999</v>
      </c>
      <c r="F15" s="9" t="s">
        <v>88</v>
      </c>
      <c r="G15" s="30">
        <f t="shared" si="0"/>
        <v>16.087644159999996</v>
      </c>
      <c r="H15" s="139">
        <v>6927.55</v>
      </c>
      <c r="I15" s="2"/>
    </row>
    <row r="16" spans="1:9" ht="15" x14ac:dyDescent="0.2">
      <c r="A16" s="24" t="s">
        <v>83</v>
      </c>
      <c r="B16" s="25"/>
      <c r="C16" s="25"/>
      <c r="D16" s="25"/>
      <c r="E16" s="25"/>
      <c r="F16" s="25"/>
      <c r="G16" s="25"/>
      <c r="H16" s="25"/>
      <c r="I16" s="25"/>
    </row>
    <row r="17" spans="1:9" ht="16" x14ac:dyDescent="0.15">
      <c r="A17" s="3" t="s">
        <v>31</v>
      </c>
      <c r="B17" s="14">
        <v>2</v>
      </c>
      <c r="C17" s="37">
        <f>Meterstanden!G14</f>
        <v>36329</v>
      </c>
      <c r="D17" s="9" t="s">
        <v>2</v>
      </c>
      <c r="E17" s="9">
        <v>0</v>
      </c>
      <c r="F17" s="9" t="s">
        <v>85</v>
      </c>
      <c r="G17" s="30">
        <f t="shared" ref="G17" si="1">C17*E17/1000</f>
        <v>0</v>
      </c>
      <c r="H17" s="60">
        <f>C17*0.12</f>
        <v>4359.4799999999996</v>
      </c>
      <c r="I17" s="2"/>
    </row>
    <row r="18" spans="1:9" ht="15" x14ac:dyDescent="0.2">
      <c r="A18" s="24" t="s">
        <v>84</v>
      </c>
      <c r="B18" s="25"/>
      <c r="C18" s="25"/>
      <c r="D18" s="25"/>
      <c r="E18" s="25"/>
      <c r="F18" s="25"/>
      <c r="G18" s="25"/>
      <c r="H18" s="25"/>
      <c r="I18" s="25"/>
    </row>
    <row r="19" spans="1:9" ht="16" x14ac:dyDescent="0.15">
      <c r="A19" s="3" t="s">
        <v>163</v>
      </c>
      <c r="B19" s="13">
        <v>1</v>
      </c>
      <c r="C19" s="48">
        <f>Meterstanden!I14</f>
        <v>15529</v>
      </c>
      <c r="D19" s="16" t="s">
        <v>87</v>
      </c>
      <c r="E19" s="16">
        <v>1.8839999999999999</v>
      </c>
      <c r="F19" s="9" t="s">
        <v>86</v>
      </c>
      <c r="G19" s="30">
        <f t="shared" ref="G19" si="2">C19*E19/1000</f>
        <v>29.256636</v>
      </c>
      <c r="H19" s="140">
        <f>C19*0.31</f>
        <v>4813.99</v>
      </c>
      <c r="I19" s="2"/>
    </row>
    <row r="20" spans="1:9" ht="21" x14ac:dyDescent="0.2">
      <c r="A20" s="33" t="s">
        <v>13</v>
      </c>
      <c r="B20" s="31"/>
      <c r="C20" s="31"/>
      <c r="D20" s="31"/>
      <c r="E20" s="31"/>
      <c r="F20" s="31"/>
      <c r="G20" s="32">
        <f>SUM(G11:G19)</f>
        <v>421.2653594800002</v>
      </c>
      <c r="H20" s="39">
        <f>SUM(H11:H19)</f>
        <v>133325.56</v>
      </c>
      <c r="I20" s="31"/>
    </row>
    <row r="22" spans="1:9" ht="17" x14ac:dyDescent="0.2">
      <c r="D22" s="41"/>
      <c r="E22" s="41"/>
      <c r="F22" s="44" t="s">
        <v>97</v>
      </c>
      <c r="G22" s="134" t="s">
        <v>91</v>
      </c>
    </row>
    <row r="23" spans="1:9" ht="16" x14ac:dyDescent="0.2">
      <c r="D23" s="41"/>
      <c r="E23" s="41"/>
      <c r="F23" s="42" t="s">
        <v>95</v>
      </c>
      <c r="G23" s="43">
        <f>G11+G13+G14+G15+G19</f>
        <v>421.2653594800002</v>
      </c>
    </row>
    <row r="24" spans="1:9" ht="16" x14ac:dyDescent="0.2">
      <c r="D24" s="41"/>
      <c r="E24" s="41"/>
      <c r="F24" s="46" t="s">
        <v>96</v>
      </c>
      <c r="G24" s="47">
        <f>G17</f>
        <v>0</v>
      </c>
    </row>
    <row r="25" spans="1:9" ht="16" x14ac:dyDescent="0.2">
      <c r="D25" s="321" t="s">
        <v>99</v>
      </c>
      <c r="E25" s="321"/>
      <c r="F25" s="321"/>
      <c r="G25" s="321"/>
    </row>
    <row r="26" spans="1:9" ht="16" x14ac:dyDescent="0.2">
      <c r="D26" s="321" t="s">
        <v>159</v>
      </c>
      <c r="E26" s="321"/>
      <c r="F26" s="321"/>
      <c r="G26" s="43">
        <f>G11</f>
        <v>372.83985432000026</v>
      </c>
    </row>
    <row r="27" spans="1:9" ht="16" x14ac:dyDescent="0.2">
      <c r="D27" s="321" t="s">
        <v>98</v>
      </c>
      <c r="E27" s="321"/>
      <c r="F27" s="321"/>
      <c r="G27" s="43">
        <f>G13+G14+G15</f>
        <v>19.168869159999996</v>
      </c>
    </row>
    <row r="28" spans="1:9" ht="16" x14ac:dyDescent="0.2">
      <c r="D28" s="321" t="s">
        <v>83</v>
      </c>
      <c r="E28" s="321"/>
      <c r="F28" s="321"/>
      <c r="G28" s="43">
        <f>G17</f>
        <v>0</v>
      </c>
    </row>
    <row r="29" spans="1:9" ht="16" x14ac:dyDescent="0.2">
      <c r="D29" s="321" t="s">
        <v>163</v>
      </c>
      <c r="E29" s="321"/>
      <c r="F29" s="321"/>
      <c r="G29" s="43">
        <f>G19</f>
        <v>29.256636</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37" priority="10">
      <formula>$C$12="nee"</formula>
    </cfRule>
  </conditionalFormatting>
  <conditionalFormatting sqref="A14:A15">
    <cfRule type="expression" dxfId="136" priority="5">
      <formula>#REF!="nee"</formula>
    </cfRule>
  </conditionalFormatting>
  <conditionalFormatting sqref="A11:H11">
    <cfRule type="expression" dxfId="135" priority="2">
      <formula>#REF!="Nee"</formula>
    </cfRule>
  </conditionalFormatting>
  <conditionalFormatting sqref="A13:H15">
    <cfRule type="expression" dxfId="134" priority="1">
      <formula>#REF!="nee"</formula>
    </cfRule>
  </conditionalFormatting>
  <conditionalFormatting sqref="A17:H17 A19:H19">
    <cfRule type="expression" dxfId="133" priority="9">
      <formula>#REF!="nee"</formula>
    </cfRule>
  </conditionalFormatting>
  <conditionalFormatting sqref="C13:C14">
    <cfRule type="expression" dxfId="132" priority="3">
      <formula>#REF!="nee"</formula>
    </cfRule>
  </conditionalFormatting>
  <conditionalFormatting sqref="E11:F11">
    <cfRule type="expression" dxfId="131" priority="11">
      <formula>#REF!="nee"</formula>
    </cfRule>
  </conditionalFormatting>
  <conditionalFormatting sqref="G13:G15">
    <cfRule type="expression" dxfId="130" priority="12">
      <formula>#REF!="Nee"</formula>
    </cfRule>
  </conditionalFormatting>
  <conditionalFormatting sqref="G17 G19">
    <cfRule type="expression" dxfId="129" priority="8">
      <formula>#REF!="Nee"</formula>
    </cfRule>
  </conditionalFormatting>
  <hyperlinks>
    <hyperlink ref="A19" location="Aardgas!A1" display="Aardgas voor verwarming " xr:uid="{00000000-0004-0000-0900-000000000000}"/>
    <hyperlink ref="A13" location="'Mobiele werktuigen'!A1" display="Materieel (mobiele werktuigen): diesel" xr:uid="{00000000-0004-0000-0900-000001000000}"/>
    <hyperlink ref="A11" location="Dieselverbruik!A1" display="Dieselverbruik bussen" xr:uid="{00000000-0004-0000-0900-000002000000}"/>
    <hyperlink ref="A17" location="Elektriciteit!A1" display="Grijze stroom Brakel" xr:uid="{00000000-0004-0000-09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0" width="10.83203125" style="15" customWidth="1"/>
    <col min="11" max="16384" width="8.83203125" style="15"/>
  </cols>
  <sheetData>
    <row r="1" spans="1:10" ht="21" x14ac:dyDescent="0.2">
      <c r="A1" s="323" t="s">
        <v>151</v>
      </c>
      <c r="B1" s="323"/>
      <c r="C1" s="323"/>
      <c r="D1" s="323"/>
      <c r="E1" s="323"/>
      <c r="F1" s="323"/>
      <c r="G1" s="323"/>
      <c r="H1" s="323"/>
      <c r="I1" s="323"/>
    </row>
    <row r="2" spans="1:10" ht="19" x14ac:dyDescent="0.2">
      <c r="A2" s="7"/>
    </row>
    <row r="3" spans="1:10" ht="19" x14ac:dyDescent="0.2">
      <c r="A3" s="7" t="s">
        <v>68</v>
      </c>
      <c r="B3" s="322" t="str">
        <f>'3.A.1 Emissie inventaris'!B4</f>
        <v xml:space="preserve">Kreeft Participaties B.V. (Kreeft) </v>
      </c>
      <c r="C3" s="322"/>
      <c r="D3" s="322"/>
      <c r="E3" s="322"/>
    </row>
    <row r="4" spans="1:10" ht="19" x14ac:dyDescent="0.2">
      <c r="A4" s="7" t="s">
        <v>69</v>
      </c>
      <c r="B4" s="322">
        <f>'3.A.1 Emissie inventaris'!B14</f>
        <v>4081360</v>
      </c>
      <c r="C4" s="322"/>
      <c r="D4" s="322"/>
      <c r="E4" s="322"/>
    </row>
    <row r="5" spans="1:10" ht="19" x14ac:dyDescent="0.2">
      <c r="A5" s="7" t="s">
        <v>15</v>
      </c>
      <c r="B5" s="322" t="s">
        <v>152</v>
      </c>
      <c r="C5" s="322"/>
      <c r="D5" s="322"/>
      <c r="E5" s="322"/>
    </row>
    <row r="6" spans="1:10" ht="19" x14ac:dyDescent="0.2">
      <c r="A6" s="7" t="s">
        <v>16</v>
      </c>
      <c r="B6" s="322" t="s">
        <v>72</v>
      </c>
      <c r="C6" s="322"/>
      <c r="D6" s="322"/>
      <c r="E6" s="322"/>
    </row>
    <row r="7" spans="1:10" ht="19" x14ac:dyDescent="0.2">
      <c r="A7" s="7" t="s">
        <v>70</v>
      </c>
      <c r="B7" s="322" t="s">
        <v>100</v>
      </c>
      <c r="C7" s="322"/>
      <c r="D7" s="322"/>
      <c r="E7" s="322"/>
    </row>
    <row r="8" spans="1:10" ht="19" x14ac:dyDescent="0.2">
      <c r="A8" s="7"/>
    </row>
    <row r="9" spans="1:10" s="21" customFormat="1" ht="17" x14ac:dyDescent="0.2">
      <c r="A9" s="22" t="s">
        <v>21</v>
      </c>
      <c r="B9" s="22" t="s">
        <v>48</v>
      </c>
      <c r="C9" s="22" t="s">
        <v>78</v>
      </c>
      <c r="D9" s="22" t="s">
        <v>0</v>
      </c>
      <c r="E9" s="22" t="s">
        <v>79</v>
      </c>
      <c r="F9" s="22" t="s">
        <v>80</v>
      </c>
      <c r="G9" s="22" t="s">
        <v>91</v>
      </c>
      <c r="H9" s="22" t="s">
        <v>6</v>
      </c>
      <c r="I9" s="28" t="s">
        <v>81</v>
      </c>
      <c r="J9" s="22" t="s">
        <v>91</v>
      </c>
    </row>
    <row r="10" spans="1:10" ht="15" x14ac:dyDescent="0.2">
      <c r="A10" s="24" t="s">
        <v>159</v>
      </c>
      <c r="B10" s="25"/>
      <c r="C10" s="25"/>
      <c r="D10" s="25"/>
      <c r="E10" s="25"/>
      <c r="F10" s="25"/>
      <c r="G10" s="25"/>
      <c r="H10" s="25"/>
      <c r="I10" s="25"/>
      <c r="J10" s="25"/>
    </row>
    <row r="11" spans="1:10" ht="16" x14ac:dyDescent="0.15">
      <c r="A11" s="3" t="s">
        <v>160</v>
      </c>
      <c r="B11" s="9">
        <v>1</v>
      </c>
      <c r="C11" s="34">
        <v>56215.430000000008</v>
      </c>
      <c r="D11" s="8" t="s">
        <v>24</v>
      </c>
      <c r="E11" s="29">
        <v>3.23</v>
      </c>
      <c r="F11" s="9" t="s">
        <v>88</v>
      </c>
      <c r="G11" s="30">
        <f>C11*E11/1000</f>
        <v>181.57583890000004</v>
      </c>
      <c r="H11" s="38"/>
      <c r="I11" s="2"/>
      <c r="J11" s="30">
        <f>G11*2</f>
        <v>363.15167780000007</v>
      </c>
    </row>
    <row r="12" spans="1:10" ht="15" x14ac:dyDescent="0.2">
      <c r="A12" s="24" t="s">
        <v>98</v>
      </c>
      <c r="B12" s="25"/>
      <c r="C12" s="25"/>
      <c r="D12" s="25"/>
      <c r="E12" s="25"/>
      <c r="F12" s="25"/>
      <c r="G12" s="25"/>
      <c r="H12" s="25"/>
      <c r="I12" s="25"/>
      <c r="J12" s="25"/>
    </row>
    <row r="13" spans="1:10" ht="16" x14ac:dyDescent="0.15">
      <c r="A13" s="3" t="s">
        <v>161</v>
      </c>
      <c r="B13" s="14">
        <v>1</v>
      </c>
      <c r="C13" s="35">
        <f>26*10.5*2</f>
        <v>546</v>
      </c>
      <c r="D13" s="9" t="s">
        <v>25</v>
      </c>
      <c r="E13" s="29">
        <v>1.806</v>
      </c>
      <c r="F13" s="9" t="s">
        <v>88</v>
      </c>
      <c r="G13" s="30">
        <f>C13*E13/1000</f>
        <v>0.98607600000000006</v>
      </c>
      <c r="H13" s="34"/>
      <c r="I13" s="2" t="s">
        <v>178</v>
      </c>
      <c r="J13" s="30">
        <f>G13*2</f>
        <v>1.9721520000000001</v>
      </c>
    </row>
    <row r="14" spans="1:10" ht="16" x14ac:dyDescent="0.15">
      <c r="A14" s="3" t="s">
        <v>168</v>
      </c>
      <c r="B14" s="14">
        <v>1</v>
      </c>
      <c r="C14" s="35">
        <f>12*10.5*2</f>
        <v>252</v>
      </c>
      <c r="D14" s="9" t="s">
        <v>167</v>
      </c>
      <c r="E14" s="29">
        <v>1.7250000000000001</v>
      </c>
      <c r="F14" s="9" t="s">
        <v>88</v>
      </c>
      <c r="G14" s="30">
        <f t="shared" ref="G14:G15" si="0">C14*E14/1000</f>
        <v>0.43470000000000003</v>
      </c>
      <c r="H14" s="34"/>
      <c r="I14" s="2"/>
      <c r="J14" s="30">
        <f>G14*2</f>
        <v>0.86940000000000006</v>
      </c>
    </row>
    <row r="15" spans="1:10" ht="16" x14ac:dyDescent="0.15">
      <c r="A15" s="3" t="s">
        <v>89</v>
      </c>
      <c r="B15" s="14">
        <v>1</v>
      </c>
      <c r="C15" s="35">
        <v>3788.1400000000003</v>
      </c>
      <c r="D15" s="9" t="s">
        <v>167</v>
      </c>
      <c r="E15" s="29">
        <v>2.74</v>
      </c>
      <c r="F15" s="9" t="s">
        <v>88</v>
      </c>
      <c r="G15" s="30">
        <f t="shared" si="0"/>
        <v>10.379503600000001</v>
      </c>
      <c r="H15" s="34"/>
      <c r="I15" s="2"/>
      <c r="J15" s="30">
        <f>G15*2</f>
        <v>20.759007200000003</v>
      </c>
    </row>
    <row r="16" spans="1:10" ht="15" x14ac:dyDescent="0.2">
      <c r="A16" s="24" t="s">
        <v>83</v>
      </c>
      <c r="B16" s="25"/>
      <c r="C16" s="25"/>
      <c r="D16" s="25"/>
      <c r="E16" s="25"/>
      <c r="F16" s="25"/>
      <c r="G16" s="25"/>
      <c r="H16" s="25"/>
      <c r="I16" s="25"/>
      <c r="J16" s="25"/>
    </row>
    <row r="17" spans="1:10" ht="16" x14ac:dyDescent="0.15">
      <c r="A17" s="3" t="s">
        <v>31</v>
      </c>
      <c r="B17" s="14">
        <v>2</v>
      </c>
      <c r="C17" s="137">
        <f>Meterstanden!G18</f>
        <v>18766.944444444445</v>
      </c>
      <c r="D17" s="9" t="s">
        <v>2</v>
      </c>
      <c r="E17" s="9">
        <v>0</v>
      </c>
      <c r="F17" s="9" t="s">
        <v>85</v>
      </c>
      <c r="G17" s="30">
        <f t="shared" ref="G17" si="1">C17*E17/1000</f>
        <v>0</v>
      </c>
      <c r="H17" s="60"/>
      <c r="I17" s="2"/>
      <c r="J17" s="30">
        <f>G17*2</f>
        <v>0</v>
      </c>
    </row>
    <row r="18" spans="1:10" ht="15" x14ac:dyDescent="0.2">
      <c r="A18" s="24" t="s">
        <v>84</v>
      </c>
      <c r="B18" s="25"/>
      <c r="C18" s="25"/>
      <c r="D18" s="25"/>
      <c r="E18" s="25"/>
      <c r="F18" s="25"/>
      <c r="G18" s="25"/>
      <c r="H18" s="25"/>
      <c r="I18" s="25"/>
      <c r="J18" s="25"/>
    </row>
    <row r="19" spans="1:10" ht="16" x14ac:dyDescent="0.15">
      <c r="A19" s="3" t="s">
        <v>163</v>
      </c>
      <c r="B19" s="13">
        <v>1</v>
      </c>
      <c r="C19" s="136">
        <f>Meterstanden!I18</f>
        <v>10497.777777777777</v>
      </c>
      <c r="D19" s="16" t="s">
        <v>87</v>
      </c>
      <c r="E19" s="16">
        <v>1.887</v>
      </c>
      <c r="F19" s="9" t="s">
        <v>86</v>
      </c>
      <c r="G19" s="30">
        <f t="shared" ref="G19" si="2">C19*E19/1000</f>
        <v>19.809306666666668</v>
      </c>
      <c r="H19" s="16"/>
      <c r="I19" s="2"/>
      <c r="J19" s="30">
        <f>G19*2</f>
        <v>39.618613333333336</v>
      </c>
    </row>
    <row r="20" spans="1:10" ht="21" x14ac:dyDescent="0.2">
      <c r="A20" s="33" t="s">
        <v>13</v>
      </c>
      <c r="B20" s="31"/>
      <c r="C20" s="31"/>
      <c r="D20" s="31"/>
      <c r="E20" s="31"/>
      <c r="F20" s="31"/>
      <c r="G20" s="32">
        <f>SUM(G11:G19)</f>
        <v>213.18542516666668</v>
      </c>
      <c r="H20" s="39">
        <f>SUM(H11:H19)</f>
        <v>0</v>
      </c>
      <c r="I20" s="31"/>
      <c r="J20" s="32">
        <f>SUM(J11:J19)</f>
        <v>426.37085033333335</v>
      </c>
    </row>
    <row r="22" spans="1:10" ht="16" x14ac:dyDescent="0.2">
      <c r="D22" s="41"/>
      <c r="E22" s="41"/>
      <c r="F22" s="44" t="s">
        <v>97</v>
      </c>
      <c r="G22" s="45"/>
    </row>
    <row r="23" spans="1:10" ht="16" x14ac:dyDescent="0.2">
      <c r="D23" s="41"/>
      <c r="E23" s="41"/>
      <c r="F23" s="42" t="s">
        <v>95</v>
      </c>
      <c r="G23" s="43">
        <f>G11+G13+G14+G15+G19</f>
        <v>213.18542516666668</v>
      </c>
    </row>
    <row r="24" spans="1:10" ht="16" x14ac:dyDescent="0.2">
      <c r="D24" s="41"/>
      <c r="E24" s="41"/>
      <c r="F24" s="46" t="s">
        <v>96</v>
      </c>
      <c r="G24" s="47">
        <f>G17</f>
        <v>0</v>
      </c>
    </row>
    <row r="25" spans="1:10" ht="16" x14ac:dyDescent="0.2">
      <c r="D25" s="321" t="s">
        <v>99</v>
      </c>
      <c r="E25" s="321"/>
      <c r="F25" s="321"/>
      <c r="G25" s="321"/>
    </row>
    <row r="26" spans="1:10" ht="16" x14ac:dyDescent="0.2">
      <c r="D26" s="321" t="s">
        <v>82</v>
      </c>
      <c r="E26" s="321"/>
      <c r="F26" s="321"/>
      <c r="G26" s="43">
        <f>G11</f>
        <v>181.57583890000004</v>
      </c>
    </row>
    <row r="27" spans="1:10" ht="16" x14ac:dyDescent="0.2">
      <c r="D27" s="321" t="s">
        <v>98</v>
      </c>
      <c r="E27" s="321"/>
      <c r="F27" s="321"/>
      <c r="G27" s="43">
        <f>G13+G14+G15</f>
        <v>11.800279600000001</v>
      </c>
    </row>
    <row r="28" spans="1:10" ht="16" x14ac:dyDescent="0.2">
      <c r="D28" s="321" t="s">
        <v>83</v>
      </c>
      <c r="E28" s="321"/>
      <c r="F28" s="321"/>
      <c r="G28" s="43">
        <f>G17</f>
        <v>0</v>
      </c>
    </row>
    <row r="29" spans="1:10" ht="16" x14ac:dyDescent="0.2">
      <c r="D29" s="321" t="s">
        <v>84</v>
      </c>
      <c r="E29" s="321"/>
      <c r="F29" s="321"/>
      <c r="G29" s="43">
        <f>G19</f>
        <v>19.809306666666668</v>
      </c>
    </row>
  </sheetData>
  <mergeCells count="11">
    <mergeCell ref="D25:G25"/>
    <mergeCell ref="D26:F26"/>
    <mergeCell ref="D27:F27"/>
    <mergeCell ref="D28:F28"/>
    <mergeCell ref="D29:F29"/>
    <mergeCell ref="B7:E7"/>
    <mergeCell ref="A1:I1"/>
    <mergeCell ref="B3:E3"/>
    <mergeCell ref="B4:E4"/>
    <mergeCell ref="B5:E5"/>
    <mergeCell ref="B6:E6"/>
  </mergeCells>
  <conditionalFormatting sqref="A13:A15">
    <cfRule type="expression" dxfId="128" priority="30">
      <formula>$C$12="nee"</formula>
    </cfRule>
  </conditionalFormatting>
  <conditionalFormatting sqref="A14:A15">
    <cfRule type="expression" dxfId="127" priority="11">
      <formula>#REF!="nee"</formula>
    </cfRule>
  </conditionalFormatting>
  <conditionalFormatting sqref="A11:H11 G13:G15">
    <cfRule type="expression" dxfId="126" priority="36">
      <formula>#REF!="Nee"</formula>
    </cfRule>
  </conditionalFormatting>
  <conditionalFormatting sqref="A17:H17 A19:H19">
    <cfRule type="expression" dxfId="125" priority="29">
      <formula>#REF!="nee"</formula>
    </cfRule>
  </conditionalFormatting>
  <conditionalFormatting sqref="E11:F11 A13:H15">
    <cfRule type="expression" dxfId="124" priority="35">
      <formula>#REF!="nee"</formula>
    </cfRule>
  </conditionalFormatting>
  <conditionalFormatting sqref="G17 G19">
    <cfRule type="expression" dxfId="123" priority="25">
      <formula>#REF!="Nee"</formula>
    </cfRule>
  </conditionalFormatting>
  <conditionalFormatting sqref="J11 J13:J15">
    <cfRule type="expression" dxfId="122" priority="6">
      <formula>#REF!="Nee"</formula>
    </cfRule>
  </conditionalFormatting>
  <conditionalFormatting sqref="J13:J15">
    <cfRule type="expression" dxfId="121" priority="5">
      <formula>#REF!="nee"</formula>
    </cfRule>
  </conditionalFormatting>
  <conditionalFormatting sqref="J17 J19">
    <cfRule type="expression" dxfId="120" priority="4">
      <formula>#REF!="nee"</formula>
    </cfRule>
  </conditionalFormatting>
  <conditionalFormatting sqref="J17">
    <cfRule type="expression" dxfId="119" priority="2">
      <formula>#REF!="Nee"</formula>
    </cfRule>
  </conditionalFormatting>
  <conditionalFormatting sqref="J19">
    <cfRule type="expression" dxfId="118" priority="1">
      <formula>#REF!="Nee"</formula>
    </cfRule>
  </conditionalFormatting>
  <hyperlinks>
    <hyperlink ref="A19" location="Aardgas!A1" display="Aardgas voor verwarming " xr:uid="{00000000-0004-0000-0A00-000000000000}"/>
    <hyperlink ref="A13" location="'Mobiele werktuigen'!A1" display="Materieel (mobiele werktuigen): diesel" xr:uid="{00000000-0004-0000-0A00-000001000000}"/>
    <hyperlink ref="A11" location="Dieselverbruik!A1" display="Dieselverbruik bussen" xr:uid="{00000000-0004-0000-0A00-000002000000}"/>
    <hyperlink ref="A17" location="Elektriciteit!A1" display="Grijze stroom Brakel" xr:uid="{00000000-0004-0000-0A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9"/>
  <sheetViews>
    <sheetView workbookViewId="0">
      <selection activeCell="E20" sqref="E20"/>
    </sheetView>
  </sheetViews>
  <sheetFormatPr baseColWidth="10" defaultColWidth="8.83203125" defaultRowHeight="14" x14ac:dyDescent="0.2"/>
  <cols>
    <col min="1" max="1" width="51" style="15" customWidth="1"/>
    <col min="2" max="2" width="10.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179</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175</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144">
        <v>113426.31</v>
      </c>
      <c r="D11" s="8" t="s">
        <v>24</v>
      </c>
      <c r="E11" s="29">
        <v>3.3090000000000002</v>
      </c>
      <c r="F11" s="9" t="s">
        <v>88</v>
      </c>
      <c r="G11" s="30">
        <f>C11*E11/1000</f>
        <v>375.32765978999998</v>
      </c>
      <c r="H11" s="38"/>
      <c r="I11" s="2"/>
    </row>
    <row r="12" spans="1:9" ht="15" x14ac:dyDescent="0.2">
      <c r="A12" s="24" t="s">
        <v>98</v>
      </c>
      <c r="B12" s="25"/>
      <c r="C12" s="25"/>
      <c r="D12" s="25"/>
      <c r="E12" s="25"/>
      <c r="F12" s="25"/>
      <c r="G12" s="25"/>
      <c r="H12" s="25"/>
      <c r="I12" s="25"/>
    </row>
    <row r="13" spans="1:9" ht="16" x14ac:dyDescent="0.15">
      <c r="A13" s="3" t="s">
        <v>161</v>
      </c>
      <c r="B13" s="14">
        <v>1</v>
      </c>
      <c r="C13" s="35">
        <f>46*10.5*2</f>
        <v>966</v>
      </c>
      <c r="D13" s="9" t="s">
        <v>25</v>
      </c>
      <c r="E13" s="29">
        <v>1.798</v>
      </c>
      <c r="F13" s="9" t="s">
        <v>88</v>
      </c>
      <c r="G13" s="30">
        <f>C13*E13/1000</f>
        <v>1.7368679999999999</v>
      </c>
      <c r="H13" s="34"/>
      <c r="I13" s="2" t="s">
        <v>178</v>
      </c>
    </row>
    <row r="14" spans="1:9" ht="16" x14ac:dyDescent="0.15">
      <c r="A14" s="3" t="s">
        <v>168</v>
      </c>
      <c r="B14" s="14">
        <v>1</v>
      </c>
      <c r="C14" s="35">
        <f>25*10.5*2</f>
        <v>525</v>
      </c>
      <c r="D14" s="9" t="s">
        <v>167</v>
      </c>
      <c r="E14" s="29">
        <v>1.7250000000000001</v>
      </c>
      <c r="F14" s="9" t="s">
        <v>88</v>
      </c>
      <c r="G14" s="30">
        <f>C14*E14/1000</f>
        <v>0.90562500000000001</v>
      </c>
      <c r="H14" s="34"/>
      <c r="I14" s="2"/>
    </row>
    <row r="15" spans="1:9" ht="16" x14ac:dyDescent="0.15">
      <c r="A15" s="3" t="s">
        <v>89</v>
      </c>
      <c r="B15" s="14">
        <v>1</v>
      </c>
      <c r="C15" s="35">
        <v>6838.36</v>
      </c>
      <c r="D15" s="9" t="s">
        <v>167</v>
      </c>
      <c r="E15" s="29">
        <v>2.8839999999999999</v>
      </c>
      <c r="F15" s="9" t="s">
        <v>88</v>
      </c>
      <c r="G15" s="30">
        <f>C15*E15/1000</f>
        <v>19.721830239999999</v>
      </c>
      <c r="H15" s="34"/>
      <c r="I15" s="2"/>
    </row>
    <row r="16" spans="1:9" ht="15" x14ac:dyDescent="0.2">
      <c r="A16" s="24" t="s">
        <v>83</v>
      </c>
      <c r="B16" s="25"/>
      <c r="C16" s="25"/>
      <c r="D16" s="25"/>
      <c r="E16" s="25"/>
      <c r="F16" s="25"/>
      <c r="G16" s="25"/>
      <c r="H16" s="25"/>
      <c r="I16" s="25"/>
    </row>
    <row r="17" spans="1:9" ht="16" x14ac:dyDescent="0.15">
      <c r="A17" s="3" t="s">
        <v>31</v>
      </c>
      <c r="B17" s="14">
        <v>2</v>
      </c>
      <c r="C17" s="37">
        <f>Meterstanden!G19</f>
        <v>34951</v>
      </c>
      <c r="D17" s="9" t="s">
        <v>2</v>
      </c>
      <c r="E17" s="9">
        <v>0</v>
      </c>
      <c r="F17" s="9" t="s">
        <v>85</v>
      </c>
      <c r="G17" s="30">
        <f t="shared" ref="G17" si="0">C17*E17/1000</f>
        <v>0</v>
      </c>
      <c r="H17" s="60"/>
      <c r="I17" s="2"/>
    </row>
    <row r="18" spans="1:9" ht="15" x14ac:dyDescent="0.2">
      <c r="A18" s="24" t="s">
        <v>84</v>
      </c>
      <c r="B18" s="25"/>
      <c r="C18" s="25"/>
      <c r="D18" s="25"/>
      <c r="E18" s="25"/>
      <c r="F18" s="25"/>
      <c r="G18" s="25"/>
      <c r="H18" s="25"/>
      <c r="I18" s="25"/>
    </row>
    <row r="19" spans="1:9" ht="16" x14ac:dyDescent="0.15">
      <c r="A19" s="3" t="s">
        <v>163</v>
      </c>
      <c r="B19" s="13">
        <v>1</v>
      </c>
      <c r="C19" s="143">
        <f>Meterstanden!I19</f>
        <v>19050</v>
      </c>
      <c r="D19" s="16" t="s">
        <v>87</v>
      </c>
      <c r="E19" s="16">
        <v>1.8839999999999999</v>
      </c>
      <c r="F19" s="9" t="s">
        <v>86</v>
      </c>
      <c r="G19" s="30">
        <f t="shared" ref="G19" si="1">C19*E19/1000</f>
        <v>35.8902</v>
      </c>
      <c r="H19" s="16"/>
      <c r="I19" s="2"/>
    </row>
    <row r="20" spans="1:9" ht="21" x14ac:dyDescent="0.2">
      <c r="A20" s="33" t="s">
        <v>13</v>
      </c>
      <c r="B20" s="31"/>
      <c r="C20" s="31"/>
      <c r="D20" s="31"/>
      <c r="E20" s="31"/>
      <c r="F20" s="31"/>
      <c r="G20" s="32">
        <f>SUM(G11:G19)</f>
        <v>433.58218302999995</v>
      </c>
      <c r="H20" s="39">
        <f>SUM(H11:H19)</f>
        <v>0</v>
      </c>
      <c r="I20" s="31"/>
    </row>
    <row r="22" spans="1:9" ht="16" x14ac:dyDescent="0.2">
      <c r="B22" s="149"/>
      <c r="D22" s="41"/>
      <c r="E22" s="41"/>
      <c r="F22" s="44" t="s">
        <v>97</v>
      </c>
      <c r="G22" s="45"/>
    </row>
    <row r="23" spans="1:9" ht="16" x14ac:dyDescent="0.2">
      <c r="D23" s="41"/>
      <c r="E23" s="41"/>
      <c r="F23" s="42" t="s">
        <v>95</v>
      </c>
      <c r="G23" s="43">
        <f>G11+G13+G14+G15+G19</f>
        <v>433.58218302999995</v>
      </c>
    </row>
    <row r="24" spans="1:9" ht="16" x14ac:dyDescent="0.2">
      <c r="D24" s="41"/>
      <c r="E24" s="41"/>
      <c r="F24" s="46" t="s">
        <v>96</v>
      </c>
      <c r="G24" s="47">
        <f>G17</f>
        <v>0</v>
      </c>
    </row>
    <row r="25" spans="1:9" ht="16" x14ac:dyDescent="0.2">
      <c r="D25" s="321" t="s">
        <v>99</v>
      </c>
      <c r="E25" s="321"/>
      <c r="F25" s="321"/>
      <c r="G25" s="321"/>
    </row>
    <row r="26" spans="1:9" ht="16" x14ac:dyDescent="0.2">
      <c r="D26" s="321" t="s">
        <v>82</v>
      </c>
      <c r="E26" s="321"/>
      <c r="F26" s="321"/>
      <c r="G26" s="43">
        <f>G11</f>
        <v>375.32765978999998</v>
      </c>
    </row>
    <row r="27" spans="1:9" ht="16" x14ac:dyDescent="0.2">
      <c r="D27" s="321" t="s">
        <v>98</v>
      </c>
      <c r="E27" s="321"/>
      <c r="F27" s="321"/>
      <c r="G27" s="43">
        <f>G13+G14+G15</f>
        <v>22.364323239999997</v>
      </c>
    </row>
    <row r="28" spans="1:9" ht="16" x14ac:dyDescent="0.2">
      <c r="D28" s="321" t="s">
        <v>83</v>
      </c>
      <c r="E28" s="321"/>
      <c r="F28" s="321"/>
      <c r="G28" s="43">
        <f>G17</f>
        <v>0</v>
      </c>
    </row>
    <row r="29" spans="1:9" ht="16" x14ac:dyDescent="0.2">
      <c r="D29" s="321" t="s">
        <v>84</v>
      </c>
      <c r="E29" s="321"/>
      <c r="F29" s="321"/>
      <c r="G29" s="43">
        <f>G19</f>
        <v>35.8902</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17" priority="4">
      <formula>$C$12="nee"</formula>
    </cfRule>
  </conditionalFormatting>
  <conditionalFormatting sqref="A14:A15">
    <cfRule type="expression" dxfId="116" priority="1">
      <formula>#REF!="nee"</formula>
    </cfRule>
  </conditionalFormatting>
  <conditionalFormatting sqref="A11:H11 G13:G15">
    <cfRule type="expression" dxfId="115" priority="6">
      <formula>#REF!="Nee"</formula>
    </cfRule>
  </conditionalFormatting>
  <conditionalFormatting sqref="A17:H17 A19:H19">
    <cfRule type="expression" dxfId="114" priority="3">
      <formula>#REF!="nee"</formula>
    </cfRule>
  </conditionalFormatting>
  <conditionalFormatting sqref="E11:F11 A13:H15">
    <cfRule type="expression" dxfId="113" priority="5">
      <formula>#REF!="nee"</formula>
    </cfRule>
  </conditionalFormatting>
  <conditionalFormatting sqref="G17 G19">
    <cfRule type="expression" dxfId="112" priority="2">
      <formula>#REF!="Nee"</formula>
    </cfRule>
  </conditionalFormatting>
  <hyperlinks>
    <hyperlink ref="A19" location="Aardgas!A1" display="Aardgas voor verwarming " xr:uid="{00000000-0004-0000-0B00-000000000000}"/>
    <hyperlink ref="A13" location="'Mobiele werktuigen'!A1" display="Materieel (mobiele werktuigen): diesel" xr:uid="{00000000-0004-0000-0B00-000001000000}"/>
    <hyperlink ref="A11" location="Dieselverbruik!A1" display="Dieselverbruik bussen" xr:uid="{00000000-0004-0000-0B00-000002000000}"/>
    <hyperlink ref="A17" location="Elektriciteit!A1" display="Grijze stroom Brakel" xr:uid="{00000000-0004-0000-0B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EA94-961D-4FB5-991D-5A2235923D31}">
  <sheetPr>
    <pageSetUpPr fitToPage="1"/>
  </sheetPr>
  <dimension ref="A1:J29"/>
  <sheetViews>
    <sheetView workbookViewId="0">
      <selection sqref="A1:I1"/>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0" width="10.83203125" style="15" customWidth="1"/>
    <col min="11" max="16384" width="8.83203125" style="15"/>
  </cols>
  <sheetData>
    <row r="1" spans="1:10" ht="21" x14ac:dyDescent="0.2">
      <c r="A1" s="323" t="s">
        <v>241</v>
      </c>
      <c r="B1" s="323"/>
      <c r="C1" s="323"/>
      <c r="D1" s="323"/>
      <c r="E1" s="323"/>
      <c r="F1" s="323"/>
      <c r="G1" s="323"/>
      <c r="H1" s="323"/>
      <c r="I1" s="323"/>
    </row>
    <row r="2" spans="1:10" ht="19" x14ac:dyDescent="0.2">
      <c r="A2" s="7"/>
    </row>
    <row r="3" spans="1:10" ht="19" x14ac:dyDescent="0.2">
      <c r="A3" s="7" t="s">
        <v>68</v>
      </c>
      <c r="B3" s="322" t="str">
        <f>'3.A.1 Emissie inventaris'!B4</f>
        <v xml:space="preserve">Kreeft Participaties B.V. (Kreeft) </v>
      </c>
      <c r="C3" s="322"/>
      <c r="D3" s="322"/>
      <c r="E3" s="322"/>
    </row>
    <row r="4" spans="1:10" ht="19" x14ac:dyDescent="0.2">
      <c r="A4" s="7" t="s">
        <v>69</v>
      </c>
      <c r="B4" s="322">
        <f>'3.A.1 Emissie inventaris'!B14</f>
        <v>4081360</v>
      </c>
      <c r="C4" s="322"/>
      <c r="D4" s="322"/>
      <c r="E4" s="322"/>
    </row>
    <row r="5" spans="1:10" ht="19" x14ac:dyDescent="0.2">
      <c r="A5" s="7" t="s">
        <v>15</v>
      </c>
      <c r="B5" s="322" t="s">
        <v>242</v>
      </c>
      <c r="C5" s="322"/>
      <c r="D5" s="322"/>
      <c r="E5" s="322"/>
    </row>
    <row r="6" spans="1:10" ht="19" x14ac:dyDescent="0.2">
      <c r="A6" s="7" t="s">
        <v>16</v>
      </c>
      <c r="B6" s="322" t="s">
        <v>72</v>
      </c>
      <c r="C6" s="322"/>
      <c r="D6" s="322"/>
      <c r="E6" s="322"/>
    </row>
    <row r="7" spans="1:10" ht="19" x14ac:dyDescent="0.2">
      <c r="A7" s="7" t="s">
        <v>70</v>
      </c>
      <c r="B7" s="322" t="s">
        <v>100</v>
      </c>
      <c r="C7" s="322"/>
      <c r="D7" s="322"/>
      <c r="E7" s="322"/>
    </row>
    <row r="8" spans="1:10" ht="19" x14ac:dyDescent="0.2">
      <c r="A8" s="7"/>
    </row>
    <row r="9" spans="1:10" s="21" customFormat="1" ht="17" x14ac:dyDescent="0.2">
      <c r="A9" s="22" t="s">
        <v>21</v>
      </c>
      <c r="B9" s="22" t="s">
        <v>48</v>
      </c>
      <c r="C9" s="22" t="s">
        <v>78</v>
      </c>
      <c r="D9" s="22" t="s">
        <v>0</v>
      </c>
      <c r="E9" s="22" t="s">
        <v>79</v>
      </c>
      <c r="F9" s="22" t="s">
        <v>80</v>
      </c>
      <c r="G9" s="22" t="s">
        <v>91</v>
      </c>
      <c r="H9" s="22" t="s">
        <v>6</v>
      </c>
      <c r="I9" s="28" t="s">
        <v>81</v>
      </c>
      <c r="J9" s="22" t="s">
        <v>91</v>
      </c>
    </row>
    <row r="10" spans="1:10" ht="15" x14ac:dyDescent="0.2">
      <c r="A10" s="24" t="s">
        <v>159</v>
      </c>
      <c r="B10" s="25"/>
      <c r="C10" s="25"/>
      <c r="D10" s="25"/>
      <c r="E10" s="25"/>
      <c r="F10" s="25"/>
      <c r="G10" s="25"/>
      <c r="H10" s="25"/>
      <c r="I10" s="25"/>
      <c r="J10" s="25"/>
    </row>
    <row r="11" spans="1:10" ht="16" x14ac:dyDescent="0.15">
      <c r="A11" s="3" t="s">
        <v>160</v>
      </c>
      <c r="B11" s="9">
        <v>1</v>
      </c>
      <c r="C11" s="34">
        <v>59187.12</v>
      </c>
      <c r="D11" s="8" t="s">
        <v>24</v>
      </c>
      <c r="E11" s="29">
        <v>3.23</v>
      </c>
      <c r="F11" s="9" t="s">
        <v>88</v>
      </c>
      <c r="G11" s="30">
        <f>C11*E11/1000</f>
        <v>191.17439759999999</v>
      </c>
      <c r="H11" s="38">
        <v>56978.04</v>
      </c>
      <c r="I11" s="2"/>
      <c r="J11" s="30">
        <f>G11*2</f>
        <v>382.34879519999998</v>
      </c>
    </row>
    <row r="12" spans="1:10" ht="15" x14ac:dyDescent="0.2">
      <c r="A12" s="24" t="s">
        <v>98</v>
      </c>
      <c r="B12" s="25"/>
      <c r="C12" s="25"/>
      <c r="D12" s="25"/>
      <c r="E12" s="25"/>
      <c r="F12" s="25"/>
      <c r="G12" s="25"/>
      <c r="H12" s="25"/>
      <c r="I12" s="25"/>
      <c r="J12" s="25"/>
    </row>
    <row r="13" spans="1:10" ht="16" x14ac:dyDescent="0.15">
      <c r="A13" s="3" t="s">
        <v>161</v>
      </c>
      <c r="B13" s="14">
        <v>1</v>
      </c>
      <c r="C13" s="35">
        <f>9*10.5*2</f>
        <v>189</v>
      </c>
      <c r="D13" s="9" t="s">
        <v>25</v>
      </c>
      <c r="E13" s="29">
        <v>1.806</v>
      </c>
      <c r="F13" s="9" t="s">
        <v>88</v>
      </c>
      <c r="G13" s="30">
        <f>C13*E13/1000</f>
        <v>0.34133400000000003</v>
      </c>
      <c r="H13" s="34"/>
      <c r="I13" s="2" t="s">
        <v>178</v>
      </c>
      <c r="J13" s="30">
        <f>G13*2</f>
        <v>0.68266800000000005</v>
      </c>
    </row>
    <row r="14" spans="1:10" ht="16" x14ac:dyDescent="0.15">
      <c r="A14" s="3" t="s">
        <v>168</v>
      </c>
      <c r="B14" s="14">
        <v>1</v>
      </c>
      <c r="C14" s="35">
        <f>23*10.5*2</f>
        <v>483</v>
      </c>
      <c r="D14" s="9" t="s">
        <v>167</v>
      </c>
      <c r="E14" s="29">
        <v>1.7250000000000001</v>
      </c>
      <c r="F14" s="9" t="s">
        <v>88</v>
      </c>
      <c r="G14" s="30">
        <f t="shared" ref="G14:G15" si="0">C14*E14/1000</f>
        <v>0.83317500000000011</v>
      </c>
      <c r="H14" s="34"/>
      <c r="I14" s="2"/>
      <c r="J14" s="30">
        <f>G14*2</f>
        <v>1.6663500000000002</v>
      </c>
    </row>
    <row r="15" spans="1:10" ht="16" x14ac:dyDescent="0.15">
      <c r="A15" s="3" t="s">
        <v>89</v>
      </c>
      <c r="B15" s="14">
        <v>1</v>
      </c>
      <c r="C15" s="35">
        <v>2136.63</v>
      </c>
      <c r="D15" s="9" t="s">
        <v>167</v>
      </c>
      <c r="E15" s="29">
        <v>2.74</v>
      </c>
      <c r="F15" s="9" t="s">
        <v>88</v>
      </c>
      <c r="G15" s="30">
        <f t="shared" si="0"/>
        <v>5.8543662000000003</v>
      </c>
      <c r="H15" s="34">
        <v>2636.03</v>
      </c>
      <c r="I15" s="2"/>
      <c r="J15" s="30">
        <f>G15*2</f>
        <v>11.708732400000001</v>
      </c>
    </row>
    <row r="16" spans="1:10" ht="15" x14ac:dyDescent="0.2">
      <c r="A16" s="24" t="s">
        <v>83</v>
      </c>
      <c r="B16" s="25"/>
      <c r="C16" s="25"/>
      <c r="D16" s="25"/>
      <c r="E16" s="25"/>
      <c r="F16" s="25"/>
      <c r="G16" s="25"/>
      <c r="H16" s="25"/>
      <c r="I16" s="25"/>
      <c r="J16" s="25"/>
    </row>
    <row r="17" spans="1:10" ht="16" x14ac:dyDescent="0.15">
      <c r="A17" s="3" t="s">
        <v>4</v>
      </c>
      <c r="B17" s="14">
        <v>2</v>
      </c>
      <c r="C17" s="122">
        <f>Meterstanden!G21</f>
        <v>15136.915384615386</v>
      </c>
      <c r="D17" s="9" t="s">
        <v>2</v>
      </c>
      <c r="E17" s="9">
        <v>0.52600000000000002</v>
      </c>
      <c r="F17" s="9" t="s">
        <v>85</v>
      </c>
      <c r="G17" s="30">
        <f t="shared" ref="G17" si="1">C17*E17/1000</f>
        <v>7.9620174923076927</v>
      </c>
      <c r="H17" s="60"/>
      <c r="I17" s="2"/>
      <c r="J17" s="30">
        <f>G17*2</f>
        <v>15.924034984615385</v>
      </c>
    </row>
    <row r="18" spans="1:10" ht="15" x14ac:dyDescent="0.2">
      <c r="A18" s="24" t="s">
        <v>84</v>
      </c>
      <c r="B18" s="25"/>
      <c r="C18" s="25"/>
      <c r="D18" s="25"/>
      <c r="E18" s="25"/>
      <c r="F18" s="25"/>
      <c r="G18" s="25"/>
      <c r="H18" s="25"/>
      <c r="I18" s="25"/>
      <c r="J18" s="25"/>
    </row>
    <row r="19" spans="1:10" ht="16" x14ac:dyDescent="0.15">
      <c r="A19" s="3" t="s">
        <v>163</v>
      </c>
      <c r="B19" s="13">
        <v>1</v>
      </c>
      <c r="C19" s="146">
        <f>Meterstanden!I21</f>
        <v>8780.4807692307695</v>
      </c>
      <c r="D19" s="16" t="s">
        <v>87</v>
      </c>
      <c r="E19" s="16">
        <v>1.887</v>
      </c>
      <c r="F19" s="9" t="s">
        <v>86</v>
      </c>
      <c r="G19" s="30">
        <f t="shared" ref="G19" si="2">C19*E19/1000</f>
        <v>16.568767211538464</v>
      </c>
      <c r="H19" s="16"/>
      <c r="I19" s="2"/>
      <c r="J19" s="30">
        <f>G19*2</f>
        <v>33.137534423076929</v>
      </c>
    </row>
    <row r="20" spans="1:10" ht="21" x14ac:dyDescent="0.2">
      <c r="A20" s="33" t="s">
        <v>13</v>
      </c>
      <c r="B20" s="31"/>
      <c r="C20" s="31"/>
      <c r="D20" s="31"/>
      <c r="E20" s="31"/>
      <c r="F20" s="31"/>
      <c r="G20" s="32">
        <f>SUM(G11:G19)</f>
        <v>222.73405750384615</v>
      </c>
      <c r="H20" s="39">
        <f>SUM(H11:H19)</f>
        <v>59614.07</v>
      </c>
      <c r="I20" s="31"/>
      <c r="J20" s="32">
        <f>SUM(J11:J19)</f>
        <v>445.46811500769229</v>
      </c>
    </row>
    <row r="22" spans="1:10" ht="16" x14ac:dyDescent="0.2">
      <c r="D22" s="41"/>
      <c r="E22" s="41"/>
      <c r="F22" s="44" t="s">
        <v>97</v>
      </c>
      <c r="G22" s="45"/>
    </row>
    <row r="23" spans="1:10" ht="16" x14ac:dyDescent="0.2">
      <c r="D23" s="41"/>
      <c r="E23" s="41"/>
      <c r="F23" s="42" t="s">
        <v>95</v>
      </c>
      <c r="G23" s="43">
        <f>G11+G13+G14+G15+G19</f>
        <v>214.77204001153845</v>
      </c>
    </row>
    <row r="24" spans="1:10" ht="16" x14ac:dyDescent="0.2">
      <c r="D24" s="41"/>
      <c r="E24" s="41"/>
      <c r="F24" s="46" t="s">
        <v>96</v>
      </c>
      <c r="G24" s="47">
        <f>G17</f>
        <v>7.9620174923076927</v>
      </c>
    </row>
    <row r="25" spans="1:10" ht="16" x14ac:dyDescent="0.2">
      <c r="D25" s="321" t="s">
        <v>99</v>
      </c>
      <c r="E25" s="321"/>
      <c r="F25" s="321"/>
      <c r="G25" s="321"/>
    </row>
    <row r="26" spans="1:10" ht="16" x14ac:dyDescent="0.2">
      <c r="D26" s="321" t="s">
        <v>82</v>
      </c>
      <c r="E26" s="321"/>
      <c r="F26" s="321"/>
      <c r="G26" s="43">
        <f>G11</f>
        <v>191.17439759999999</v>
      </c>
    </row>
    <row r="27" spans="1:10" ht="16" x14ac:dyDescent="0.2">
      <c r="D27" s="321" t="s">
        <v>98</v>
      </c>
      <c r="E27" s="321"/>
      <c r="F27" s="321"/>
      <c r="G27" s="43">
        <f>G13+G14+G15</f>
        <v>7.0288751999999999</v>
      </c>
    </row>
    <row r="28" spans="1:10" ht="16" x14ac:dyDescent="0.2">
      <c r="D28" s="321" t="s">
        <v>83</v>
      </c>
      <c r="E28" s="321"/>
      <c r="F28" s="321"/>
      <c r="G28" s="43">
        <f>G17</f>
        <v>7.9620174923076927</v>
      </c>
    </row>
    <row r="29" spans="1:10" ht="16" x14ac:dyDescent="0.2">
      <c r="D29" s="321" t="s">
        <v>84</v>
      </c>
      <c r="E29" s="321"/>
      <c r="F29" s="321"/>
      <c r="G29" s="43">
        <f>G19</f>
        <v>16.568767211538464</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11" priority="10">
      <formula>$C$12="nee"</formula>
    </cfRule>
  </conditionalFormatting>
  <conditionalFormatting sqref="A14:A15">
    <cfRule type="expression" dxfId="110" priority="7">
      <formula>#REF!="nee"</formula>
    </cfRule>
  </conditionalFormatting>
  <conditionalFormatting sqref="A11:H11 G13:G15">
    <cfRule type="expression" dxfId="109" priority="12">
      <formula>#REF!="Nee"</formula>
    </cfRule>
  </conditionalFormatting>
  <conditionalFormatting sqref="A17:H17 A19:H19">
    <cfRule type="expression" dxfId="108" priority="9">
      <formula>#REF!="nee"</formula>
    </cfRule>
  </conditionalFormatting>
  <conditionalFormatting sqref="E11:F11 A13:H15">
    <cfRule type="expression" dxfId="107" priority="11">
      <formula>#REF!="nee"</formula>
    </cfRule>
  </conditionalFormatting>
  <conditionalFormatting sqref="G17 G19">
    <cfRule type="expression" dxfId="106" priority="8">
      <formula>#REF!="Nee"</formula>
    </cfRule>
  </conditionalFormatting>
  <conditionalFormatting sqref="J11 J13:J15">
    <cfRule type="expression" dxfId="105" priority="6">
      <formula>#REF!="Nee"</formula>
    </cfRule>
  </conditionalFormatting>
  <conditionalFormatting sqref="J13:J15">
    <cfRule type="expression" dxfId="104" priority="5">
      <formula>#REF!="nee"</formula>
    </cfRule>
  </conditionalFormatting>
  <conditionalFormatting sqref="J17 J19">
    <cfRule type="expression" dxfId="103" priority="4">
      <formula>#REF!="nee"</formula>
    </cfRule>
  </conditionalFormatting>
  <conditionalFormatting sqref="J17">
    <cfRule type="expression" dxfId="102" priority="2">
      <formula>#REF!="Nee"</formula>
    </cfRule>
  </conditionalFormatting>
  <conditionalFormatting sqref="J19">
    <cfRule type="expression" dxfId="101" priority="1">
      <formula>#REF!="Nee"</formula>
    </cfRule>
  </conditionalFormatting>
  <hyperlinks>
    <hyperlink ref="A19" location="Aardgas!A1" display="Aardgas voor verwarming " xr:uid="{C41384D3-586A-4DAA-A8AB-6EC47AF6FF1D}"/>
    <hyperlink ref="A13" location="'Mobiele werktuigen'!A1" display="Materieel (mobiele werktuigen): diesel" xr:uid="{D8465119-9BA6-451B-9DC0-B768BDD54D62}"/>
    <hyperlink ref="A11" location="Dieselverbruik!A1" display="Dieselverbruik bussen" xr:uid="{8AF08270-2891-4A08-82C3-F4CFEB1BEDE7}"/>
    <hyperlink ref="A17" location="Elektriciteit!A1" display="Grijze stroom Brakel" xr:uid="{15A7B26A-55EF-443A-B044-63EDCA6BC061}"/>
  </hyperlinks>
  <pageMargins left="0.23622047244094491" right="0.23622047244094491" top="0.74803149606299213" bottom="0.74803149606299213" header="0.31496062992125984" footer="0.31496062992125984"/>
  <pageSetup paperSize="9" scale="47" orientation="landscape" r:id="rId1"/>
  <headerFooter>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A2AA-4683-498D-8094-6A4F01A4B237}">
  <sheetPr>
    <pageSetUpPr fitToPage="1"/>
  </sheetPr>
  <dimension ref="A1:I29"/>
  <sheetViews>
    <sheetView workbookViewId="0">
      <selection activeCell="O45" sqref="O45"/>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249</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247</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f>Brandstof!B6</f>
        <v>125203.31923076924</v>
      </c>
      <c r="D11" s="8" t="s">
        <v>24</v>
      </c>
      <c r="E11" s="29">
        <v>3.3090000000000002</v>
      </c>
      <c r="F11" s="9" t="s">
        <v>88</v>
      </c>
      <c r="G11" s="30">
        <f>C11*E11/1000</f>
        <v>414.29778333461542</v>
      </c>
      <c r="H11" s="38"/>
      <c r="I11" s="2"/>
    </row>
    <row r="12" spans="1:9" ht="15" x14ac:dyDescent="0.2">
      <c r="A12" s="24" t="s">
        <v>98</v>
      </c>
      <c r="B12" s="25"/>
      <c r="C12" s="25"/>
      <c r="D12" s="25"/>
      <c r="E12" s="25"/>
      <c r="F12" s="25"/>
      <c r="G12" s="25"/>
      <c r="H12" s="25"/>
      <c r="I12" s="25"/>
    </row>
    <row r="13" spans="1:9" ht="16" x14ac:dyDescent="0.15">
      <c r="A13" s="3" t="s">
        <v>161</v>
      </c>
      <c r="B13" s="14">
        <v>1</v>
      </c>
      <c r="C13" s="35">
        <f>20*2*10.5</f>
        <v>420</v>
      </c>
      <c r="D13" s="9" t="s">
        <v>25</v>
      </c>
      <c r="E13" s="29">
        <v>1.798</v>
      </c>
      <c r="F13" s="9" t="s">
        <v>88</v>
      </c>
      <c r="G13" s="30">
        <f>C13*E13/1000</f>
        <v>0.75515999999999994</v>
      </c>
      <c r="H13" s="34"/>
      <c r="I13" s="2" t="s">
        <v>248</v>
      </c>
    </row>
    <row r="14" spans="1:9" ht="16" x14ac:dyDescent="0.15">
      <c r="A14" s="3" t="s">
        <v>168</v>
      </c>
      <c r="B14" s="14">
        <v>1</v>
      </c>
      <c r="C14" s="35">
        <f>86*10.5*2</f>
        <v>1806</v>
      </c>
      <c r="D14" s="9" t="s">
        <v>167</v>
      </c>
      <c r="E14" s="29">
        <v>1.7250000000000001</v>
      </c>
      <c r="F14" s="9" t="s">
        <v>88</v>
      </c>
      <c r="G14" s="30">
        <f t="shared" ref="G14:G15" si="0">C14*E14/1000</f>
        <v>3.1153500000000003</v>
      </c>
      <c r="H14" s="34"/>
      <c r="I14" s="2"/>
    </row>
    <row r="15" spans="1:9" ht="16" x14ac:dyDescent="0.15">
      <c r="A15" s="3" t="s">
        <v>89</v>
      </c>
      <c r="B15" s="14">
        <v>1</v>
      </c>
      <c r="C15" s="35">
        <v>5640.98</v>
      </c>
      <c r="D15" s="9" t="s">
        <v>167</v>
      </c>
      <c r="E15" s="29">
        <v>2.8839999999999999</v>
      </c>
      <c r="F15" s="9" t="s">
        <v>88</v>
      </c>
      <c r="G15" s="30">
        <f t="shared" si="0"/>
        <v>16.268586319999997</v>
      </c>
      <c r="H15" s="34"/>
      <c r="I15" s="2"/>
    </row>
    <row r="16" spans="1:9" ht="15" x14ac:dyDescent="0.2">
      <c r="A16" s="24" t="s">
        <v>83</v>
      </c>
      <c r="B16" s="25"/>
      <c r="C16" s="25"/>
      <c r="D16" s="25"/>
      <c r="E16" s="25"/>
      <c r="F16" s="25"/>
      <c r="G16" s="25"/>
      <c r="H16" s="25"/>
      <c r="I16" s="25"/>
    </row>
    <row r="17" spans="1:9" ht="16" x14ac:dyDescent="0.15">
      <c r="A17" s="3" t="s">
        <v>4</v>
      </c>
      <c r="B17" s="14">
        <v>2</v>
      </c>
      <c r="C17" s="122">
        <f>Meterstanden!G23</f>
        <v>29272.622739018087</v>
      </c>
      <c r="D17" s="9" t="s">
        <v>2</v>
      </c>
      <c r="E17" s="9">
        <v>0.52600000000000002</v>
      </c>
      <c r="F17" s="9" t="s">
        <v>85</v>
      </c>
      <c r="G17" s="30">
        <f t="shared" ref="G17" si="1">C17*E17/1000</f>
        <v>15.397399560723514</v>
      </c>
      <c r="H17" s="60">
        <f>C17*0.21</f>
        <v>6147.2507751937983</v>
      </c>
      <c r="I17" s="2"/>
    </row>
    <row r="18" spans="1:9" ht="15" x14ac:dyDescent="0.2">
      <c r="A18" s="24" t="s">
        <v>84</v>
      </c>
      <c r="B18" s="25"/>
      <c r="C18" s="25"/>
      <c r="D18" s="25"/>
      <c r="E18" s="25"/>
      <c r="F18" s="25"/>
      <c r="G18" s="25"/>
      <c r="H18" s="25"/>
      <c r="I18" s="25"/>
    </row>
    <row r="19" spans="1:9" ht="16" x14ac:dyDescent="0.15">
      <c r="A19" s="3" t="s">
        <v>163</v>
      </c>
      <c r="B19" s="13">
        <v>1</v>
      </c>
      <c r="C19" s="146">
        <f>Meterstanden!I23</f>
        <v>20601.279069767443</v>
      </c>
      <c r="D19" s="16" t="s">
        <v>87</v>
      </c>
      <c r="E19" s="29">
        <v>1.89</v>
      </c>
      <c r="F19" s="9" t="s">
        <v>86</v>
      </c>
      <c r="G19" s="30">
        <f t="shared" ref="G19" si="2">C19*E19/1000</f>
        <v>38.93641744186047</v>
      </c>
      <c r="H19" s="163">
        <f>C19*0.5</f>
        <v>10300.639534883721</v>
      </c>
      <c r="I19" s="2"/>
    </row>
    <row r="20" spans="1:9" ht="21" x14ac:dyDescent="0.2">
      <c r="A20" s="33" t="s">
        <v>13</v>
      </c>
      <c r="B20" s="31"/>
      <c r="C20" s="31"/>
      <c r="D20" s="31"/>
      <c r="E20" s="31"/>
      <c r="F20" s="31"/>
      <c r="G20" s="32">
        <f>SUM(G11:G19)</f>
        <v>488.77069665719932</v>
      </c>
      <c r="H20" s="39">
        <f>SUM(H11:H19)</f>
        <v>16447.890310077521</v>
      </c>
      <c r="I20" s="31"/>
    </row>
    <row r="22" spans="1:9" ht="16" x14ac:dyDescent="0.2">
      <c r="D22" s="41"/>
      <c r="E22" s="41"/>
      <c r="F22" s="44" t="s">
        <v>97</v>
      </c>
      <c r="G22" s="45"/>
    </row>
    <row r="23" spans="1:9" ht="16" x14ac:dyDescent="0.2">
      <c r="D23" s="41"/>
      <c r="E23" s="41"/>
      <c r="F23" s="42" t="s">
        <v>95</v>
      </c>
      <c r="G23" s="43">
        <f>G11+G13+G14+G15+G19</f>
        <v>473.37329709647588</v>
      </c>
    </row>
    <row r="24" spans="1:9" ht="16" x14ac:dyDescent="0.2">
      <c r="D24" s="41"/>
      <c r="E24" s="41"/>
      <c r="F24" s="46" t="s">
        <v>96</v>
      </c>
      <c r="G24" s="47">
        <f>G17</f>
        <v>15.397399560723514</v>
      </c>
    </row>
    <row r="25" spans="1:9" ht="16" x14ac:dyDescent="0.2">
      <c r="D25" s="321" t="s">
        <v>99</v>
      </c>
      <c r="E25" s="321"/>
      <c r="F25" s="321"/>
      <c r="G25" s="321"/>
    </row>
    <row r="26" spans="1:9" ht="16" x14ac:dyDescent="0.2">
      <c r="D26" s="321" t="s">
        <v>82</v>
      </c>
      <c r="E26" s="321"/>
      <c r="F26" s="321"/>
      <c r="G26" s="43">
        <f>G11</f>
        <v>414.29778333461542</v>
      </c>
      <c r="I26" s="40"/>
    </row>
    <row r="27" spans="1:9" ht="16" x14ac:dyDescent="0.2">
      <c r="D27" s="321" t="s">
        <v>98</v>
      </c>
      <c r="E27" s="321"/>
      <c r="F27" s="321"/>
      <c r="G27" s="43">
        <f>G13+G14+G15</f>
        <v>20.139096319999997</v>
      </c>
    </row>
    <row r="28" spans="1:9" ht="16" x14ac:dyDescent="0.2">
      <c r="D28" s="321" t="s">
        <v>83</v>
      </c>
      <c r="E28" s="321"/>
      <c r="F28" s="321"/>
      <c r="G28" s="43">
        <f>G17</f>
        <v>15.397399560723514</v>
      </c>
    </row>
    <row r="29" spans="1:9" ht="16" x14ac:dyDescent="0.2">
      <c r="D29" s="321" t="s">
        <v>84</v>
      </c>
      <c r="E29" s="321"/>
      <c r="F29" s="321"/>
      <c r="G29" s="43">
        <f>G19</f>
        <v>38.93641744186047</v>
      </c>
    </row>
  </sheetData>
  <sheetProtection algorithmName="SHA-512" hashValue="YAnGgRft1Lx9OoTJsRV/XaL0M7/51yMEGeop60DwtA/PQ0oymPINyMAZapQF28xXbK7iw7Ysl976o1U25RPEgg==" saltValue="CTiBFk/9yoHODEAh8o8Jkg==" spinCount="100000" sheet="1" objects="1" scenarios="1"/>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00" priority="10">
      <formula>$C$12="nee"</formula>
    </cfRule>
  </conditionalFormatting>
  <conditionalFormatting sqref="A14:A15">
    <cfRule type="expression" dxfId="99" priority="7">
      <formula>#REF!="nee"</formula>
    </cfRule>
  </conditionalFormatting>
  <conditionalFormatting sqref="A11:H11 G13:G15">
    <cfRule type="expression" dxfId="98" priority="12">
      <formula>#REF!="Nee"</formula>
    </cfRule>
  </conditionalFormatting>
  <conditionalFormatting sqref="A17:H17 A19:H19">
    <cfRule type="expression" dxfId="97" priority="9">
      <formula>#REF!="nee"</formula>
    </cfRule>
  </conditionalFormatting>
  <conditionalFormatting sqref="E11:F11 A13:H15">
    <cfRule type="expression" dxfId="96" priority="11">
      <formula>#REF!="nee"</formula>
    </cfRule>
  </conditionalFormatting>
  <conditionalFormatting sqref="G17 G19">
    <cfRule type="expression" dxfId="95" priority="8">
      <formula>#REF!="Nee"</formula>
    </cfRule>
  </conditionalFormatting>
  <hyperlinks>
    <hyperlink ref="A19" location="Aardgas!A1" display="Aardgas voor verwarming " xr:uid="{172C5B77-48B6-43B0-9BFA-19E28718155F}"/>
    <hyperlink ref="A13" location="'Mobiele werktuigen'!A1" display="Materieel (mobiele werktuigen): diesel" xr:uid="{DBDEDFC6-DB3E-4AEB-8075-5B1441D263B9}"/>
    <hyperlink ref="A11" location="Dieselverbruik!A1" display="Dieselverbruik bussen" xr:uid="{FAD776A1-D9C1-4AAC-BC36-026B61194F5F}"/>
    <hyperlink ref="A17" location="Elektriciteit!A1" display="Grijze stroom Brakel" xr:uid="{898D6918-3A6D-4120-AEAC-4B7FFB5343C9}"/>
  </hyperlinks>
  <pageMargins left="0.23622047244094491" right="0.23622047244094491" top="0.74803149606299213" bottom="0.74803149606299213" header="0.31496062992125984" footer="0.31496062992125984"/>
  <pageSetup paperSize="9" scale="47" orientation="landscape" r:id="rId1"/>
  <headerFooter>
    <oddHeader>&amp;R&amp;G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F022-1C95-4F47-8F83-FE376B48970E}">
  <sheetPr>
    <pageSetUpPr fitToPage="1"/>
  </sheetPr>
  <dimension ref="A1:J29"/>
  <sheetViews>
    <sheetView topLeftCell="A4" workbookViewId="0">
      <selection activeCell="C14" sqref="C14"/>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0" width="10.83203125" style="15" customWidth="1"/>
    <col min="11" max="16384" width="8.83203125" style="15"/>
  </cols>
  <sheetData>
    <row r="1" spans="1:10" ht="21" x14ac:dyDescent="0.2">
      <c r="A1" s="323" t="s">
        <v>251</v>
      </c>
      <c r="B1" s="323"/>
      <c r="C1" s="323"/>
      <c r="D1" s="323"/>
      <c r="E1" s="323"/>
      <c r="F1" s="323"/>
      <c r="G1" s="323"/>
      <c r="H1" s="323"/>
      <c r="I1" s="323"/>
    </row>
    <row r="2" spans="1:10" ht="19" x14ac:dyDescent="0.2">
      <c r="A2" s="7"/>
    </row>
    <row r="3" spans="1:10" ht="19" x14ac:dyDescent="0.2">
      <c r="A3" s="7" t="s">
        <v>68</v>
      </c>
      <c r="B3" s="322" t="str">
        <f>'3.A.1 Emissie inventaris'!B4</f>
        <v xml:space="preserve">Kreeft Participaties B.V. (Kreeft) </v>
      </c>
      <c r="C3" s="322"/>
      <c r="D3" s="322"/>
      <c r="E3" s="322"/>
    </row>
    <row r="4" spans="1:10" ht="19" x14ac:dyDescent="0.2">
      <c r="A4" s="7" t="s">
        <v>69</v>
      </c>
      <c r="B4" s="322">
        <f>'3.A.1 Emissie inventaris'!B14</f>
        <v>4081360</v>
      </c>
      <c r="C4" s="322"/>
      <c r="D4" s="322"/>
      <c r="E4" s="322"/>
    </row>
    <row r="5" spans="1:10" ht="19" x14ac:dyDescent="0.2">
      <c r="A5" s="7" t="s">
        <v>15</v>
      </c>
      <c r="B5" s="322" t="s">
        <v>252</v>
      </c>
      <c r="C5" s="322"/>
      <c r="D5" s="322"/>
      <c r="E5" s="322"/>
    </row>
    <row r="6" spans="1:10" ht="19" x14ac:dyDescent="0.2">
      <c r="A6" s="7" t="s">
        <v>16</v>
      </c>
      <c r="B6" s="322" t="s">
        <v>72</v>
      </c>
      <c r="C6" s="322"/>
      <c r="D6" s="322"/>
      <c r="E6" s="322"/>
    </row>
    <row r="7" spans="1:10" ht="19" x14ac:dyDescent="0.2">
      <c r="A7" s="7" t="s">
        <v>70</v>
      </c>
      <c r="B7" s="322" t="s">
        <v>100</v>
      </c>
      <c r="C7" s="322"/>
      <c r="D7" s="322"/>
      <c r="E7" s="322"/>
    </row>
    <row r="8" spans="1:10" ht="19" x14ac:dyDescent="0.2">
      <c r="A8" s="7"/>
    </row>
    <row r="9" spans="1:10" s="21" customFormat="1" ht="17" x14ac:dyDescent="0.2">
      <c r="A9" s="22" t="s">
        <v>21</v>
      </c>
      <c r="B9" s="22" t="s">
        <v>48</v>
      </c>
      <c r="C9" s="22" t="s">
        <v>78</v>
      </c>
      <c r="D9" s="22" t="s">
        <v>0</v>
      </c>
      <c r="E9" s="22" t="s">
        <v>79</v>
      </c>
      <c r="F9" s="22" t="s">
        <v>80</v>
      </c>
      <c r="G9" s="22" t="s">
        <v>91</v>
      </c>
      <c r="H9" s="22" t="s">
        <v>6</v>
      </c>
      <c r="I9" s="28" t="s">
        <v>81</v>
      </c>
      <c r="J9" s="22" t="s">
        <v>91</v>
      </c>
    </row>
    <row r="10" spans="1:10" ht="15" x14ac:dyDescent="0.2">
      <c r="A10" s="24" t="s">
        <v>159</v>
      </c>
      <c r="B10" s="25"/>
      <c r="C10" s="25"/>
      <c r="D10" s="25"/>
      <c r="E10" s="25"/>
      <c r="F10" s="25"/>
      <c r="G10" s="25"/>
      <c r="H10" s="25"/>
      <c r="I10" s="25"/>
      <c r="J10" s="25"/>
    </row>
    <row r="11" spans="1:10" ht="16" x14ac:dyDescent="0.15">
      <c r="A11" s="3" t="s">
        <v>160</v>
      </c>
      <c r="B11" s="9">
        <v>1</v>
      </c>
      <c r="C11" s="34">
        <v>61572.95</v>
      </c>
      <c r="D11" s="8" t="s">
        <v>24</v>
      </c>
      <c r="E11" s="29">
        <v>3.23</v>
      </c>
      <c r="F11" s="9" t="s">
        <v>88</v>
      </c>
      <c r="G11" s="30">
        <f>C11*E11/1000</f>
        <v>198.8806285</v>
      </c>
      <c r="H11" s="38"/>
      <c r="I11" s="2"/>
      <c r="J11" s="30">
        <f>G11*2</f>
        <v>397.761257</v>
      </c>
    </row>
    <row r="12" spans="1:10" ht="15" x14ac:dyDescent="0.2">
      <c r="A12" s="24" t="s">
        <v>98</v>
      </c>
      <c r="B12" s="25"/>
      <c r="C12" s="25"/>
      <c r="D12" s="25"/>
      <c r="E12" s="25"/>
      <c r="F12" s="25"/>
      <c r="G12" s="25"/>
      <c r="H12" s="25"/>
      <c r="I12" s="25"/>
      <c r="J12" s="25"/>
    </row>
    <row r="13" spans="1:10" ht="16" x14ac:dyDescent="0.15">
      <c r="A13" s="3" t="s">
        <v>161</v>
      </c>
      <c r="B13" s="14">
        <v>1</v>
      </c>
      <c r="C13" s="35">
        <f>10*10.5*2</f>
        <v>210</v>
      </c>
      <c r="D13" s="9" t="s">
        <v>25</v>
      </c>
      <c r="E13" s="29">
        <v>1.806</v>
      </c>
      <c r="F13" s="9" t="s">
        <v>88</v>
      </c>
      <c r="G13" s="30">
        <f>C13*E13/1000</f>
        <v>0.37925999999999999</v>
      </c>
      <c r="H13" s="34"/>
      <c r="I13" s="2" t="s">
        <v>178</v>
      </c>
      <c r="J13" s="30">
        <f>G13*2</f>
        <v>0.75851999999999997</v>
      </c>
    </row>
    <row r="14" spans="1:10" ht="16" x14ac:dyDescent="0.15">
      <c r="A14" s="3" t="s">
        <v>168</v>
      </c>
      <c r="B14" s="14">
        <v>1</v>
      </c>
      <c r="C14" s="35">
        <f>36*10.5*2</f>
        <v>756</v>
      </c>
      <c r="D14" s="9" t="s">
        <v>167</v>
      </c>
      <c r="E14" s="29">
        <v>1.7250000000000001</v>
      </c>
      <c r="F14" s="9" t="s">
        <v>88</v>
      </c>
      <c r="G14" s="30">
        <f t="shared" ref="G14:G15" si="0">C14*E14/1000</f>
        <v>1.3041</v>
      </c>
      <c r="H14" s="34"/>
      <c r="I14" s="2"/>
      <c r="J14" s="30">
        <f>G14*2</f>
        <v>2.6082000000000001</v>
      </c>
    </row>
    <row r="15" spans="1:10" ht="16" x14ac:dyDescent="0.15">
      <c r="A15" s="3" t="s">
        <v>89</v>
      </c>
      <c r="B15" s="14">
        <v>1</v>
      </c>
      <c r="C15" s="35">
        <v>2363.16</v>
      </c>
      <c r="D15" s="9" t="s">
        <v>167</v>
      </c>
      <c r="E15" s="29">
        <v>2.74</v>
      </c>
      <c r="F15" s="9" t="s">
        <v>88</v>
      </c>
      <c r="G15" s="30">
        <f t="shared" si="0"/>
        <v>6.4750584</v>
      </c>
      <c r="H15" s="34"/>
      <c r="I15" s="2"/>
      <c r="J15" s="30">
        <f>G15*2</f>
        <v>12.9501168</v>
      </c>
    </row>
    <row r="16" spans="1:10" ht="15" x14ac:dyDescent="0.2">
      <c r="A16" s="24" t="s">
        <v>83</v>
      </c>
      <c r="B16" s="25"/>
      <c r="C16" s="25"/>
      <c r="D16" s="25"/>
      <c r="E16" s="25"/>
      <c r="F16" s="25"/>
      <c r="G16" s="25"/>
      <c r="H16" s="25"/>
      <c r="I16" s="25"/>
      <c r="J16" s="25"/>
    </row>
    <row r="17" spans="1:10" ht="16" x14ac:dyDescent="0.15">
      <c r="A17" s="3" t="s">
        <v>4</v>
      </c>
      <c r="B17" s="14">
        <v>2</v>
      </c>
      <c r="C17" s="122">
        <f>Meterstanden!G26</f>
        <v>15960.081355932203</v>
      </c>
      <c r="D17" s="9" t="s">
        <v>2</v>
      </c>
      <c r="E17" s="9">
        <v>0.64900000000000002</v>
      </c>
      <c r="F17" s="9" t="s">
        <v>85</v>
      </c>
      <c r="G17" s="30">
        <f t="shared" ref="G17" si="1">C17*E17/1000</f>
        <v>10.3580928</v>
      </c>
      <c r="H17" s="60"/>
      <c r="I17" s="2"/>
      <c r="J17" s="30">
        <f>G17*2</f>
        <v>20.716185599999999</v>
      </c>
    </row>
    <row r="18" spans="1:10" ht="15" x14ac:dyDescent="0.2">
      <c r="A18" s="24" t="s">
        <v>84</v>
      </c>
      <c r="B18" s="25"/>
      <c r="C18" s="25"/>
      <c r="D18" s="25"/>
      <c r="E18" s="25"/>
      <c r="F18" s="25"/>
      <c r="G18" s="25"/>
      <c r="H18" s="25"/>
      <c r="I18" s="25"/>
      <c r="J18" s="25"/>
    </row>
    <row r="19" spans="1:10" ht="16" x14ac:dyDescent="0.15">
      <c r="A19" s="3" t="s">
        <v>163</v>
      </c>
      <c r="B19" s="13">
        <v>1</v>
      </c>
      <c r="C19" s="146">
        <f>Meterstanden!I26</f>
        <v>8227.6555183946475</v>
      </c>
      <c r="D19" s="16" t="s">
        <v>87</v>
      </c>
      <c r="E19" s="16">
        <v>1.887</v>
      </c>
      <c r="F19" s="9" t="s">
        <v>86</v>
      </c>
      <c r="G19" s="30">
        <f t="shared" ref="G19" si="2">C19*E19/1000</f>
        <v>15.5255859632107</v>
      </c>
      <c r="H19" s="16"/>
      <c r="I19" s="2"/>
      <c r="J19" s="30">
        <f>G19*2</f>
        <v>31.0511719264214</v>
      </c>
    </row>
    <row r="20" spans="1:10" ht="21" x14ac:dyDescent="0.2">
      <c r="A20" s="33" t="s">
        <v>13</v>
      </c>
      <c r="B20" s="31"/>
      <c r="C20" s="31"/>
      <c r="D20" s="31"/>
      <c r="E20" s="31"/>
      <c r="F20" s="31"/>
      <c r="G20" s="32">
        <f>SUM(G11:G19)</f>
        <v>232.92272566321068</v>
      </c>
      <c r="H20" s="39">
        <f>SUM(H11:H19)</f>
        <v>0</v>
      </c>
      <c r="I20" s="31"/>
      <c r="J20" s="32">
        <f>SUM(J11:J19)</f>
        <v>465.84545132642137</v>
      </c>
    </row>
    <row r="22" spans="1:10" ht="16" x14ac:dyDescent="0.2">
      <c r="D22" s="41"/>
      <c r="E22" s="41"/>
      <c r="F22" s="44" t="s">
        <v>97</v>
      </c>
      <c r="G22" s="45"/>
    </row>
    <row r="23" spans="1:10" ht="16" x14ac:dyDescent="0.2">
      <c r="D23" s="41"/>
      <c r="E23" s="41"/>
      <c r="F23" s="42" t="s">
        <v>95</v>
      </c>
      <c r="G23" s="43">
        <f>G11+G13+G14+G15+G19</f>
        <v>222.56463286321068</v>
      </c>
    </row>
    <row r="24" spans="1:10" ht="16" x14ac:dyDescent="0.2">
      <c r="D24" s="41"/>
      <c r="E24" s="41"/>
      <c r="F24" s="46" t="s">
        <v>96</v>
      </c>
      <c r="G24" s="47">
        <f>G17</f>
        <v>10.3580928</v>
      </c>
    </row>
    <row r="25" spans="1:10" ht="16" x14ac:dyDescent="0.2">
      <c r="D25" s="321" t="s">
        <v>99</v>
      </c>
      <c r="E25" s="321"/>
      <c r="F25" s="321"/>
      <c r="G25" s="321"/>
    </row>
    <row r="26" spans="1:10" ht="16" x14ac:dyDescent="0.2">
      <c r="D26" s="321" t="s">
        <v>82</v>
      </c>
      <c r="E26" s="321"/>
      <c r="F26" s="321"/>
      <c r="G26" s="43">
        <f>G11</f>
        <v>198.8806285</v>
      </c>
    </row>
    <row r="27" spans="1:10" ht="16" x14ac:dyDescent="0.2">
      <c r="D27" s="321" t="s">
        <v>98</v>
      </c>
      <c r="E27" s="321"/>
      <c r="F27" s="321"/>
      <c r="G27" s="43">
        <f>G13+G14+G15</f>
        <v>8.1584184000000004</v>
      </c>
    </row>
    <row r="28" spans="1:10" ht="16" x14ac:dyDescent="0.2">
      <c r="D28" s="321" t="s">
        <v>83</v>
      </c>
      <c r="E28" s="321"/>
      <c r="F28" s="321"/>
      <c r="G28" s="43">
        <f>G17</f>
        <v>10.3580928</v>
      </c>
    </row>
    <row r="29" spans="1:10" ht="16" x14ac:dyDescent="0.2">
      <c r="D29" s="321" t="s">
        <v>84</v>
      </c>
      <c r="E29" s="321"/>
      <c r="F29" s="321"/>
      <c r="G29" s="43">
        <f>G19</f>
        <v>15.5255859632107</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94" priority="10">
      <formula>$C$12="nee"</formula>
    </cfRule>
  </conditionalFormatting>
  <conditionalFormatting sqref="A14:A15">
    <cfRule type="expression" dxfId="93" priority="7">
      <formula>#REF!="nee"</formula>
    </cfRule>
  </conditionalFormatting>
  <conditionalFormatting sqref="A11:H11 G13:G15">
    <cfRule type="expression" dxfId="92" priority="12">
      <formula>#REF!="Nee"</formula>
    </cfRule>
  </conditionalFormatting>
  <conditionalFormatting sqref="A17:H17 A19:H19">
    <cfRule type="expression" dxfId="91" priority="9">
      <formula>#REF!="nee"</formula>
    </cfRule>
  </conditionalFormatting>
  <conditionalFormatting sqref="E11:F11 A13:H15">
    <cfRule type="expression" dxfId="90" priority="11">
      <formula>#REF!="nee"</formula>
    </cfRule>
  </conditionalFormatting>
  <conditionalFormatting sqref="G17 G19">
    <cfRule type="expression" dxfId="89" priority="8">
      <formula>#REF!="Nee"</formula>
    </cfRule>
  </conditionalFormatting>
  <conditionalFormatting sqref="J11 J13:J15">
    <cfRule type="expression" dxfId="88" priority="6">
      <formula>#REF!="Nee"</formula>
    </cfRule>
  </conditionalFormatting>
  <conditionalFormatting sqref="J13:J15">
    <cfRule type="expression" dxfId="87" priority="5">
      <formula>#REF!="nee"</formula>
    </cfRule>
  </conditionalFormatting>
  <conditionalFormatting sqref="J17 J19">
    <cfRule type="expression" dxfId="86" priority="4">
      <formula>#REF!="nee"</formula>
    </cfRule>
  </conditionalFormatting>
  <conditionalFormatting sqref="J17">
    <cfRule type="expression" dxfId="85" priority="2">
      <formula>#REF!="Nee"</formula>
    </cfRule>
  </conditionalFormatting>
  <conditionalFormatting sqref="J19">
    <cfRule type="expression" dxfId="84" priority="1">
      <formula>#REF!="Nee"</formula>
    </cfRule>
  </conditionalFormatting>
  <hyperlinks>
    <hyperlink ref="A19" location="Aardgas!A1" display="Aardgas voor verwarming " xr:uid="{30A78519-65B8-4FBC-9BB1-69D465BDE461}"/>
    <hyperlink ref="A13" location="'Mobiele werktuigen'!A1" display="Materieel (mobiele werktuigen): diesel" xr:uid="{9E0A619E-08D2-40BB-9927-6063B577B012}"/>
    <hyperlink ref="A11" location="Dieselverbruik!A1" display="Dieselverbruik bussen" xr:uid="{D68A0141-4954-4130-960B-B0C07C07E47D}"/>
    <hyperlink ref="A17" location="Elektriciteit!A1" display="Grijze stroom Brakel" xr:uid="{5735D89F-6A2A-48BD-9838-A3588D9A56AE}"/>
  </hyperlinks>
  <pageMargins left="0.23622047244094491" right="0.23622047244094491" top="0.74803149606299213" bottom="0.74803149606299213" header="0.31496062992125984" footer="0.31496062992125984"/>
  <pageSetup paperSize="9" scale="47" orientation="landscape" r:id="rId1"/>
  <headerFooter>
    <oddHeader>&amp;R&amp;G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F8B0-4F96-4B1E-8BDD-FDCB9738F6AA}">
  <sheetPr>
    <pageSetUpPr fitToPage="1"/>
  </sheetPr>
  <dimension ref="A1:I29"/>
  <sheetViews>
    <sheetView workbookViewId="0">
      <selection activeCell="O45" sqref="O45"/>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256</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255</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125524.65</v>
      </c>
      <c r="D11" s="8" t="s">
        <v>24</v>
      </c>
      <c r="E11" s="29">
        <v>3.3090000000000002</v>
      </c>
      <c r="F11" s="9" t="s">
        <v>88</v>
      </c>
      <c r="G11" s="30">
        <f>C11*E11/1000</f>
        <v>415.36106684999999</v>
      </c>
      <c r="H11" s="38"/>
      <c r="I11" s="2" t="s">
        <v>267</v>
      </c>
    </row>
    <row r="12" spans="1:9" ht="15" x14ac:dyDescent="0.2">
      <c r="A12" s="24" t="s">
        <v>98</v>
      </c>
      <c r="B12" s="25"/>
      <c r="C12" s="25"/>
      <c r="D12" s="25"/>
      <c r="E12" s="25"/>
      <c r="F12" s="25"/>
      <c r="G12" s="25"/>
      <c r="H12" s="25"/>
      <c r="I12" s="25"/>
    </row>
    <row r="13" spans="1:9" ht="16" x14ac:dyDescent="0.15">
      <c r="A13" s="3" t="s">
        <v>161</v>
      </c>
      <c r="B13" s="14">
        <v>1</v>
      </c>
      <c r="C13" s="35">
        <f>23*10.5*2</f>
        <v>483</v>
      </c>
      <c r="D13" s="9" t="s">
        <v>25</v>
      </c>
      <c r="E13" s="29">
        <v>1.798</v>
      </c>
      <c r="F13" s="9" t="s">
        <v>88</v>
      </c>
      <c r="G13" s="30">
        <f>C13*E13/1000</f>
        <v>0.86843399999999993</v>
      </c>
      <c r="H13" s="34"/>
      <c r="I13" s="2" t="s">
        <v>178</v>
      </c>
    </row>
    <row r="14" spans="1:9" ht="16" x14ac:dyDescent="0.15">
      <c r="A14" s="3" t="s">
        <v>168</v>
      </c>
      <c r="B14" s="14">
        <v>1</v>
      </c>
      <c r="C14" s="35">
        <f>57*10.5*2</f>
        <v>1197</v>
      </c>
      <c r="D14" s="9" t="s">
        <v>167</v>
      </c>
      <c r="E14" s="29">
        <v>1.7250000000000001</v>
      </c>
      <c r="F14" s="9" t="s">
        <v>88</v>
      </c>
      <c r="G14" s="30">
        <f t="shared" ref="G14:G15" si="0">C14*E14/1000</f>
        <v>2.0648250000000004</v>
      </c>
      <c r="H14" s="34"/>
      <c r="I14" s="2"/>
    </row>
    <row r="15" spans="1:9" ht="16" x14ac:dyDescent="0.15">
      <c r="A15" s="3" t="s">
        <v>89</v>
      </c>
      <c r="B15" s="14">
        <v>1</v>
      </c>
      <c r="C15" s="35">
        <v>4962.4799999999996</v>
      </c>
      <c r="D15" s="9" t="s">
        <v>167</v>
      </c>
      <c r="E15" s="29">
        <v>2.8839999999999999</v>
      </c>
      <c r="F15" s="9" t="s">
        <v>88</v>
      </c>
      <c r="G15" s="30">
        <f t="shared" si="0"/>
        <v>14.311792319999999</v>
      </c>
      <c r="H15" s="34"/>
      <c r="I15" s="2"/>
    </row>
    <row r="16" spans="1:9" ht="15" x14ac:dyDescent="0.2">
      <c r="A16" s="24" t="s">
        <v>83</v>
      </c>
      <c r="B16" s="25"/>
      <c r="C16" s="25"/>
      <c r="D16" s="25"/>
      <c r="E16" s="25"/>
      <c r="F16" s="25"/>
      <c r="G16" s="25"/>
      <c r="H16" s="25"/>
      <c r="I16" s="25"/>
    </row>
    <row r="17" spans="1:9" ht="16" x14ac:dyDescent="0.15">
      <c r="A17" s="3" t="s">
        <v>4</v>
      </c>
      <c r="B17" s="14">
        <v>2</v>
      </c>
      <c r="C17" s="122">
        <f>Meterstanden!G30</f>
        <v>32417.9802259887</v>
      </c>
      <c r="D17" s="9" t="s">
        <v>2</v>
      </c>
      <c r="E17" s="9">
        <v>0.64900000000000002</v>
      </c>
      <c r="F17" s="9" t="s">
        <v>85</v>
      </c>
      <c r="G17" s="30">
        <f t="shared" ref="G17" si="1">C17*E17/1000</f>
        <v>21.039269166666667</v>
      </c>
      <c r="H17" s="60"/>
      <c r="I17" s="2" t="s">
        <v>268</v>
      </c>
    </row>
    <row r="18" spans="1:9" ht="15" x14ac:dyDescent="0.2">
      <c r="A18" s="24" t="s">
        <v>84</v>
      </c>
      <c r="B18" s="25"/>
      <c r="C18" s="25"/>
      <c r="D18" s="25"/>
      <c r="E18" s="25"/>
      <c r="F18" s="25"/>
      <c r="G18" s="25"/>
      <c r="H18" s="25"/>
      <c r="I18" s="25"/>
    </row>
    <row r="19" spans="1:9" ht="16" x14ac:dyDescent="0.15">
      <c r="A19" s="3" t="s">
        <v>163</v>
      </c>
      <c r="B19" s="13">
        <v>1</v>
      </c>
      <c r="C19" s="146">
        <f>Meterstanden!I30</f>
        <v>16413.658192090395</v>
      </c>
      <c r="D19" s="16" t="s">
        <v>87</v>
      </c>
      <c r="E19" s="16">
        <v>1.89</v>
      </c>
      <c r="F19" s="9" t="s">
        <v>86</v>
      </c>
      <c r="G19" s="30">
        <f t="shared" ref="G19" si="2">C19*E19/1000</f>
        <v>31.021813983050844</v>
      </c>
      <c r="H19" s="16"/>
      <c r="I19" s="2" t="s">
        <v>268</v>
      </c>
    </row>
    <row r="20" spans="1:9" ht="21" x14ac:dyDescent="0.2">
      <c r="A20" s="33" t="s">
        <v>13</v>
      </c>
      <c r="B20" s="31"/>
      <c r="C20" s="31"/>
      <c r="D20" s="31"/>
      <c r="E20" s="31"/>
      <c r="F20" s="31"/>
      <c r="G20" s="32">
        <f>SUM(G11:G19)</f>
        <v>484.66720131971744</v>
      </c>
      <c r="H20" s="39">
        <f>SUM(H11:H19)</f>
        <v>0</v>
      </c>
      <c r="I20" s="31"/>
    </row>
    <row r="22" spans="1:9" ht="16" x14ac:dyDescent="0.2">
      <c r="D22" s="41"/>
      <c r="E22" s="41"/>
      <c r="F22" s="44" t="s">
        <v>97</v>
      </c>
      <c r="G22" s="45"/>
    </row>
    <row r="23" spans="1:9" ht="16" x14ac:dyDescent="0.2">
      <c r="D23" s="41"/>
      <c r="E23" s="41"/>
      <c r="F23" s="42" t="s">
        <v>95</v>
      </c>
      <c r="G23" s="43">
        <f>G11+G13+G14+G15+G19</f>
        <v>463.62793215305078</v>
      </c>
    </row>
    <row r="24" spans="1:9" ht="16" x14ac:dyDescent="0.2">
      <c r="D24" s="41"/>
      <c r="E24" s="41"/>
      <c r="F24" s="46" t="s">
        <v>96</v>
      </c>
      <c r="G24" s="47">
        <f>G17</f>
        <v>21.039269166666667</v>
      </c>
    </row>
    <row r="25" spans="1:9" ht="16" x14ac:dyDescent="0.2">
      <c r="D25" s="321" t="s">
        <v>99</v>
      </c>
      <c r="E25" s="321"/>
      <c r="F25" s="321"/>
      <c r="G25" s="321"/>
    </row>
    <row r="26" spans="1:9" ht="16" x14ac:dyDescent="0.2">
      <c r="D26" s="321" t="s">
        <v>82</v>
      </c>
      <c r="E26" s="321"/>
      <c r="F26" s="321"/>
      <c r="G26" s="43">
        <f>G11</f>
        <v>415.36106684999999</v>
      </c>
    </row>
    <row r="27" spans="1:9" ht="16" x14ac:dyDescent="0.2">
      <c r="D27" s="321" t="s">
        <v>98</v>
      </c>
      <c r="E27" s="321"/>
      <c r="F27" s="321"/>
      <c r="G27" s="43">
        <f>G13+G14+G15</f>
        <v>17.245051319999998</v>
      </c>
    </row>
    <row r="28" spans="1:9" ht="16" x14ac:dyDescent="0.2">
      <c r="D28" s="321" t="s">
        <v>83</v>
      </c>
      <c r="E28" s="321"/>
      <c r="F28" s="321"/>
      <c r="G28" s="43">
        <f>G17</f>
        <v>21.039269166666667</v>
      </c>
    </row>
    <row r="29" spans="1:9" ht="16" x14ac:dyDescent="0.2">
      <c r="D29" s="321" t="s">
        <v>84</v>
      </c>
      <c r="E29" s="321"/>
      <c r="F29" s="321"/>
      <c r="G29" s="43">
        <f>G19</f>
        <v>31.021813983050844</v>
      </c>
    </row>
  </sheetData>
  <sheetProtection algorithmName="SHA-512" hashValue="jTQKPETStfopiDN6iGp7l/K1xTIuVyLXAIIXT9hugM+PcYnceh5ooFu75cjD3IuRlEpvygpLgKQ49Ss5bbyY8w==" saltValue="hlQZ1LEMemr2p76V2ZQqxA==" spinCount="100000" sheet="1" objects="1" scenarios="1"/>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83" priority="10">
      <formula>$C$12="nee"</formula>
    </cfRule>
  </conditionalFormatting>
  <conditionalFormatting sqref="A14:A15">
    <cfRule type="expression" dxfId="82" priority="7">
      <formula>#REF!="nee"</formula>
    </cfRule>
  </conditionalFormatting>
  <conditionalFormatting sqref="A11:H11 G13:G15">
    <cfRule type="expression" dxfId="81" priority="12">
      <formula>#REF!="Nee"</formula>
    </cfRule>
  </conditionalFormatting>
  <conditionalFormatting sqref="A17:H17 A19:H19">
    <cfRule type="expression" dxfId="80" priority="9">
      <formula>#REF!="nee"</formula>
    </cfRule>
  </conditionalFormatting>
  <conditionalFormatting sqref="E11:F11 A13:H15">
    <cfRule type="expression" dxfId="79" priority="11">
      <formula>#REF!="nee"</formula>
    </cfRule>
  </conditionalFormatting>
  <conditionalFormatting sqref="G17 G19">
    <cfRule type="expression" dxfId="78" priority="8">
      <formula>#REF!="Nee"</formula>
    </cfRule>
  </conditionalFormatting>
  <hyperlinks>
    <hyperlink ref="A19" location="Aardgas!A1" display="Aardgas voor verwarming " xr:uid="{BF2713FE-F0E7-48E7-8983-C674FA35C50A}"/>
    <hyperlink ref="A13" location="'Mobiele werktuigen'!A1" display="Materieel (mobiele werktuigen): diesel" xr:uid="{8D59172D-F14D-4887-8D5C-253414AC7255}"/>
    <hyperlink ref="A11" location="Dieselverbruik!A1" display="Dieselverbruik bussen" xr:uid="{91BD9911-E4BF-42BE-8E34-C9B163AAF868}"/>
    <hyperlink ref="A17" location="Elektriciteit!A1" display="Grijze stroom Brakel" xr:uid="{EA6B2EF3-A522-408F-8D90-94F0FB5E1F3D}"/>
  </hyperlinks>
  <pageMargins left="0.23622047244094491" right="0.23622047244094491" top="0.74803149606299213" bottom="0.74803149606299213" header="0.31496062992125984" footer="0.31496062992125984"/>
  <pageSetup paperSize="9" scale="48" orientation="landscape" r:id="rId1"/>
  <headerFooter>
    <oddHeader>&amp;R&amp;G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452DB-F1E5-4EAC-98F9-C93A344AFE2F}">
  <dimension ref="A1:J29"/>
  <sheetViews>
    <sheetView workbookViewId="0">
      <selection activeCell="C13" sqref="C13"/>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0" width="10.83203125" style="15" customWidth="1"/>
    <col min="11" max="16384" width="8.83203125" style="15"/>
  </cols>
  <sheetData>
    <row r="1" spans="1:10" ht="21" x14ac:dyDescent="0.2">
      <c r="A1" s="323" t="s">
        <v>277</v>
      </c>
      <c r="B1" s="323"/>
      <c r="C1" s="323"/>
      <c r="D1" s="323"/>
      <c r="E1" s="323"/>
      <c r="F1" s="323"/>
      <c r="G1" s="323"/>
      <c r="H1" s="323"/>
      <c r="I1" s="323"/>
    </row>
    <row r="2" spans="1:10" ht="19" x14ac:dyDescent="0.2">
      <c r="A2" s="7"/>
    </row>
    <row r="3" spans="1:10" ht="19" x14ac:dyDescent="0.2">
      <c r="A3" s="7" t="s">
        <v>68</v>
      </c>
      <c r="B3" s="322" t="str">
        <f>'3.A.1 Emissie inventaris'!B4</f>
        <v xml:space="preserve">Kreeft Participaties B.V. (Kreeft) </v>
      </c>
      <c r="C3" s="322"/>
      <c r="D3" s="322"/>
      <c r="E3" s="322"/>
    </row>
    <row r="4" spans="1:10" ht="19" x14ac:dyDescent="0.2">
      <c r="A4" s="7" t="s">
        <v>69</v>
      </c>
      <c r="B4" s="322">
        <f>'3.A.1 Emissie inventaris'!B14</f>
        <v>4081360</v>
      </c>
      <c r="C4" s="322"/>
      <c r="D4" s="322"/>
      <c r="E4" s="322"/>
    </row>
    <row r="5" spans="1:10" ht="19" x14ac:dyDescent="0.2">
      <c r="A5" s="7" t="s">
        <v>15</v>
      </c>
      <c r="B5" s="322" t="s">
        <v>272</v>
      </c>
      <c r="C5" s="322"/>
      <c r="D5" s="322"/>
      <c r="E5" s="322"/>
    </row>
    <row r="6" spans="1:10" ht="19" x14ac:dyDescent="0.2">
      <c r="A6" s="7" t="s">
        <v>16</v>
      </c>
      <c r="B6" s="322" t="s">
        <v>72</v>
      </c>
      <c r="C6" s="322"/>
      <c r="D6" s="322"/>
      <c r="E6" s="322"/>
    </row>
    <row r="7" spans="1:10" ht="19" x14ac:dyDescent="0.2">
      <c r="A7" s="7" t="s">
        <v>70</v>
      </c>
      <c r="B7" s="322" t="s">
        <v>100</v>
      </c>
      <c r="C7" s="322"/>
      <c r="D7" s="322"/>
      <c r="E7" s="322"/>
    </row>
    <row r="8" spans="1:10" ht="19" x14ac:dyDescent="0.2">
      <c r="A8" s="7"/>
    </row>
    <row r="9" spans="1:10" s="21" customFormat="1" ht="17" x14ac:dyDescent="0.2">
      <c r="A9" s="22" t="s">
        <v>21</v>
      </c>
      <c r="B9" s="22" t="s">
        <v>48</v>
      </c>
      <c r="C9" s="22" t="s">
        <v>78</v>
      </c>
      <c r="D9" s="22" t="s">
        <v>0</v>
      </c>
      <c r="E9" s="22" t="s">
        <v>79</v>
      </c>
      <c r="F9" s="22" t="s">
        <v>80</v>
      </c>
      <c r="G9" s="22" t="s">
        <v>91</v>
      </c>
      <c r="H9" s="22" t="s">
        <v>6</v>
      </c>
      <c r="I9" s="28" t="s">
        <v>81</v>
      </c>
      <c r="J9" s="22" t="s">
        <v>91</v>
      </c>
    </row>
    <row r="10" spans="1:10" ht="15" x14ac:dyDescent="0.2">
      <c r="A10" s="24" t="s">
        <v>159</v>
      </c>
      <c r="B10" s="25"/>
      <c r="C10" s="25"/>
      <c r="D10" s="25"/>
      <c r="E10" s="25"/>
      <c r="F10" s="25"/>
      <c r="G10" s="25"/>
      <c r="H10" s="25"/>
      <c r="I10" s="25"/>
      <c r="J10" s="25"/>
    </row>
    <row r="11" spans="1:10" ht="16" x14ac:dyDescent="0.2">
      <c r="A11" t="s">
        <v>160</v>
      </c>
      <c r="B11" s="9">
        <v>1</v>
      </c>
      <c r="C11" s="34">
        <v>57560.959999999999</v>
      </c>
      <c r="D11" s="8" t="s">
        <v>24</v>
      </c>
      <c r="E11" s="29">
        <v>3.23</v>
      </c>
      <c r="F11" s="9" t="s">
        <v>88</v>
      </c>
      <c r="G11" s="30">
        <f>C11*E11/1000</f>
        <v>185.9219008</v>
      </c>
      <c r="H11" s="38"/>
      <c r="I11" s="2" t="s">
        <v>279</v>
      </c>
      <c r="J11" s="30">
        <f>G11*2</f>
        <v>371.84380160000001</v>
      </c>
    </row>
    <row r="12" spans="1:10" ht="15" x14ac:dyDescent="0.2">
      <c r="A12" s="24" t="s">
        <v>98</v>
      </c>
      <c r="B12" s="25"/>
      <c r="C12" s="25"/>
      <c r="D12" s="25"/>
      <c r="E12" s="25"/>
      <c r="F12" s="25"/>
      <c r="G12" s="25"/>
      <c r="H12" s="25"/>
      <c r="I12" s="25"/>
      <c r="J12" s="25"/>
    </row>
    <row r="13" spans="1:10" ht="15" x14ac:dyDescent="0.2">
      <c r="A13" s="185" t="s">
        <v>161</v>
      </c>
      <c r="B13" s="14">
        <v>1</v>
      </c>
      <c r="C13" s="35">
        <f>8*10.5*2</f>
        <v>168</v>
      </c>
      <c r="D13" s="9" t="s">
        <v>25</v>
      </c>
      <c r="E13" s="29">
        <v>1.806</v>
      </c>
      <c r="F13" s="9" t="s">
        <v>88</v>
      </c>
      <c r="G13" s="30">
        <f>C13*E13/1000</f>
        <v>0.30340800000000001</v>
      </c>
      <c r="H13" s="34"/>
      <c r="I13" s="2" t="s">
        <v>280</v>
      </c>
      <c r="J13" s="30">
        <f>G13*2</f>
        <v>0.60681600000000002</v>
      </c>
    </row>
    <row r="14" spans="1:10" ht="15" x14ac:dyDescent="0.2">
      <c r="A14" s="185" t="s">
        <v>168</v>
      </c>
      <c r="B14" s="14">
        <v>1</v>
      </c>
      <c r="C14" s="35">
        <f>23*10.5*2</f>
        <v>483</v>
      </c>
      <c r="D14" s="9" t="s">
        <v>167</v>
      </c>
      <c r="E14" s="29">
        <v>1.7250000000000001</v>
      </c>
      <c r="F14" s="9" t="s">
        <v>88</v>
      </c>
      <c r="G14" s="30">
        <f t="shared" ref="G14:G15" si="0">C14*E14/1000</f>
        <v>0.83317500000000011</v>
      </c>
      <c r="H14" s="34"/>
      <c r="I14" s="2" t="s">
        <v>278</v>
      </c>
      <c r="J14" s="30">
        <f>G14*2</f>
        <v>1.6663500000000002</v>
      </c>
    </row>
    <row r="15" spans="1:10" ht="15" x14ac:dyDescent="0.2">
      <c r="A15" s="185" t="s">
        <v>89</v>
      </c>
      <c r="B15" s="14">
        <v>1</v>
      </c>
      <c r="C15" s="35">
        <v>1492.73</v>
      </c>
      <c r="D15" s="9" t="s">
        <v>167</v>
      </c>
      <c r="E15" s="29">
        <v>3.23</v>
      </c>
      <c r="F15" s="9" t="s">
        <v>88</v>
      </c>
      <c r="G15" s="30">
        <f t="shared" si="0"/>
        <v>4.8215178999999999</v>
      </c>
      <c r="H15" s="34"/>
      <c r="I15" s="2" t="s">
        <v>278</v>
      </c>
      <c r="J15" s="30">
        <f>G15*2</f>
        <v>9.6430357999999998</v>
      </c>
    </row>
    <row r="16" spans="1:10" ht="15" x14ac:dyDescent="0.2">
      <c r="A16" s="24" t="s">
        <v>83</v>
      </c>
      <c r="B16" s="25"/>
      <c r="C16" s="25"/>
      <c r="D16" s="25"/>
      <c r="E16" s="25"/>
      <c r="F16" s="25"/>
      <c r="G16" s="25"/>
      <c r="H16" s="25"/>
      <c r="I16" s="25"/>
      <c r="J16" s="25"/>
    </row>
    <row r="17" spans="1:10" ht="15" x14ac:dyDescent="0.2">
      <c r="A17" t="s">
        <v>4</v>
      </c>
      <c r="B17" s="14">
        <v>2</v>
      </c>
      <c r="C17" s="122">
        <f>Meterstanden!G32</f>
        <v>14048.384615384615</v>
      </c>
      <c r="D17" s="9" t="s">
        <v>2</v>
      </c>
      <c r="E17" s="9">
        <v>0.64900000000000002</v>
      </c>
      <c r="F17" s="9" t="s">
        <v>85</v>
      </c>
      <c r="G17" s="30">
        <f t="shared" ref="G17" si="1">C17*E17/1000</f>
        <v>9.1174016153846154</v>
      </c>
      <c r="H17" s="60"/>
      <c r="I17" s="2" t="s">
        <v>276</v>
      </c>
      <c r="J17" s="30">
        <f>G17*2</f>
        <v>18.234803230769231</v>
      </c>
    </row>
    <row r="18" spans="1:10" ht="15" x14ac:dyDescent="0.2">
      <c r="A18" s="24" t="s">
        <v>84</v>
      </c>
      <c r="B18" s="25"/>
      <c r="C18" s="25"/>
      <c r="D18" s="25"/>
      <c r="E18" s="25"/>
      <c r="F18" s="25"/>
      <c r="G18" s="25"/>
      <c r="H18" s="25"/>
      <c r="I18" s="25"/>
      <c r="J18" s="25"/>
    </row>
    <row r="19" spans="1:10" ht="15" x14ac:dyDescent="0.2">
      <c r="A19" t="s">
        <v>163</v>
      </c>
      <c r="B19" s="13">
        <v>1</v>
      </c>
      <c r="C19" s="146">
        <f>Meterstanden!I32</f>
        <v>6401.5213675213681</v>
      </c>
      <c r="D19" s="16" t="s">
        <v>87</v>
      </c>
      <c r="E19" s="16">
        <v>1.89</v>
      </c>
      <c r="F19" s="9" t="s">
        <v>86</v>
      </c>
      <c r="G19" s="30">
        <f t="shared" ref="G19" si="2">C19*E19/1000</f>
        <v>12.098875384615384</v>
      </c>
      <c r="H19" s="16"/>
      <c r="I19" s="2" t="s">
        <v>275</v>
      </c>
      <c r="J19" s="30">
        <f>G19*2</f>
        <v>24.197750769230769</v>
      </c>
    </row>
    <row r="20" spans="1:10" ht="21" x14ac:dyDescent="0.2">
      <c r="A20" s="33" t="s">
        <v>13</v>
      </c>
      <c r="B20" s="31"/>
      <c r="C20" s="31"/>
      <c r="D20" s="31"/>
      <c r="E20" s="31"/>
      <c r="F20" s="31"/>
      <c r="G20" s="32">
        <f>SUM(G11:G19)</f>
        <v>213.0962787</v>
      </c>
      <c r="H20" s="39">
        <f>SUM(H11:H19)</f>
        <v>0</v>
      </c>
      <c r="I20" s="31"/>
      <c r="J20" s="32">
        <f>SUM(J11:J19)</f>
        <v>426.1925574</v>
      </c>
    </row>
    <row r="22" spans="1:10" ht="16" x14ac:dyDescent="0.2">
      <c r="D22" s="41"/>
      <c r="E22" s="41"/>
      <c r="F22" s="44" t="s">
        <v>97</v>
      </c>
      <c r="G22" s="45"/>
    </row>
    <row r="23" spans="1:10" ht="16" x14ac:dyDescent="0.2">
      <c r="D23" s="41"/>
      <c r="E23" s="41"/>
      <c r="F23" s="42" t="s">
        <v>95</v>
      </c>
      <c r="G23" s="43">
        <f>G11+G13+G14+G15+G19</f>
        <v>203.97887708461539</v>
      </c>
    </row>
    <row r="24" spans="1:10" ht="16" x14ac:dyDescent="0.2">
      <c r="D24" s="41"/>
      <c r="E24" s="41"/>
      <c r="F24" s="46" t="s">
        <v>96</v>
      </c>
      <c r="G24" s="47">
        <f>G17</f>
        <v>9.1174016153846154</v>
      </c>
    </row>
    <row r="25" spans="1:10" ht="16" x14ac:dyDescent="0.2">
      <c r="D25" s="321" t="s">
        <v>99</v>
      </c>
      <c r="E25" s="321"/>
      <c r="F25" s="321"/>
      <c r="G25" s="321"/>
    </row>
    <row r="26" spans="1:10" ht="16" x14ac:dyDescent="0.2">
      <c r="D26" s="321" t="s">
        <v>82</v>
      </c>
      <c r="E26" s="321"/>
      <c r="F26" s="321"/>
      <c r="G26" s="43">
        <f>G11</f>
        <v>185.9219008</v>
      </c>
    </row>
    <row r="27" spans="1:10" ht="16" x14ac:dyDescent="0.2">
      <c r="D27" s="321" t="s">
        <v>98</v>
      </c>
      <c r="E27" s="321"/>
      <c r="F27" s="321"/>
      <c r="G27" s="43">
        <f>G13+G14+G15</f>
        <v>5.9581008999999998</v>
      </c>
    </row>
    <row r="28" spans="1:10" ht="16" x14ac:dyDescent="0.2">
      <c r="D28" s="321" t="s">
        <v>83</v>
      </c>
      <c r="E28" s="321"/>
      <c r="F28" s="321"/>
      <c r="G28" s="43">
        <f>G17</f>
        <v>9.1174016153846154</v>
      </c>
    </row>
    <row r="29" spans="1:10" ht="16" x14ac:dyDescent="0.2">
      <c r="D29" s="321" t="s">
        <v>84</v>
      </c>
      <c r="E29" s="321"/>
      <c r="F29" s="321"/>
      <c r="G29" s="43">
        <f>G19</f>
        <v>12.098875384615384</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77" priority="1">
      <formula>#REF!="Nee"</formula>
    </cfRule>
  </conditionalFormatting>
  <conditionalFormatting sqref="A11:H11 G13:G15">
    <cfRule type="expression" dxfId="76" priority="13">
      <formula>#REF!="Nee"</formula>
    </cfRule>
  </conditionalFormatting>
  <conditionalFormatting sqref="A17:H17 A19:H19">
    <cfRule type="expression" dxfId="75" priority="10">
      <formula>#REF!="nee"</formula>
    </cfRule>
  </conditionalFormatting>
  <conditionalFormatting sqref="E11:F11 B13:H15">
    <cfRule type="expression" dxfId="74" priority="12">
      <formula>#REF!="nee"</formula>
    </cfRule>
  </conditionalFormatting>
  <conditionalFormatting sqref="G17 G19">
    <cfRule type="expression" dxfId="73" priority="9">
      <formula>#REF!="Nee"</formula>
    </cfRule>
  </conditionalFormatting>
  <conditionalFormatting sqref="J11 J13:J15">
    <cfRule type="expression" dxfId="72" priority="7">
      <formula>#REF!="Nee"</formula>
    </cfRule>
  </conditionalFormatting>
  <conditionalFormatting sqref="J13:J15">
    <cfRule type="expression" dxfId="71" priority="6">
      <formula>#REF!="nee"</formula>
    </cfRule>
  </conditionalFormatting>
  <conditionalFormatting sqref="J17 J19">
    <cfRule type="expression" dxfId="70" priority="5">
      <formula>#REF!="nee"</formula>
    </cfRule>
  </conditionalFormatting>
  <conditionalFormatting sqref="J17">
    <cfRule type="expression" dxfId="69" priority="3">
      <formula>#REF!="Nee"</formula>
    </cfRule>
  </conditionalFormatting>
  <conditionalFormatting sqref="J19">
    <cfRule type="expression" dxfId="68" priority="2">
      <formula>#REF!="Nee"</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4186-9CBF-4B04-A644-AE4B4E4AC4BD}">
  <dimension ref="A1:I31"/>
  <sheetViews>
    <sheetView workbookViewId="0">
      <selection activeCell="O45" sqref="O45"/>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39.1640625" style="15" customWidth="1"/>
    <col min="9" max="16384" width="8.83203125" style="15"/>
  </cols>
  <sheetData>
    <row r="1" spans="1:8" ht="21" x14ac:dyDescent="0.2">
      <c r="A1" s="323" t="s">
        <v>286</v>
      </c>
      <c r="B1" s="323"/>
      <c r="C1" s="323"/>
      <c r="D1" s="323"/>
      <c r="E1" s="323"/>
      <c r="F1" s="323"/>
      <c r="G1" s="323"/>
      <c r="H1" s="323"/>
    </row>
    <row r="2" spans="1:8" ht="19" x14ac:dyDescent="0.2">
      <c r="A2" s="7"/>
    </row>
    <row r="3" spans="1:8" ht="19" x14ac:dyDescent="0.2">
      <c r="A3" s="7" t="s">
        <v>68</v>
      </c>
      <c r="B3" s="322" t="str">
        <f>'3.A.1 Emissie inventaris'!B4</f>
        <v xml:space="preserve">Kreeft Participaties B.V. (Kreeft) </v>
      </c>
      <c r="C3" s="322"/>
      <c r="D3" s="322"/>
      <c r="E3" s="322"/>
    </row>
    <row r="4" spans="1:8" ht="19" x14ac:dyDescent="0.2">
      <c r="A4" s="7" t="s">
        <v>69</v>
      </c>
      <c r="B4" s="322">
        <f>'3.A.1 Emissie inventaris'!B14</f>
        <v>4081360</v>
      </c>
      <c r="C4" s="322"/>
      <c r="D4" s="322"/>
      <c r="E4" s="322"/>
    </row>
    <row r="5" spans="1:8" ht="19" x14ac:dyDescent="0.2">
      <c r="A5" s="7" t="s">
        <v>15</v>
      </c>
      <c r="B5" s="322" t="s">
        <v>285</v>
      </c>
      <c r="C5" s="322"/>
      <c r="D5" s="322"/>
      <c r="E5" s="322"/>
    </row>
    <row r="6" spans="1:8" ht="19" x14ac:dyDescent="0.2">
      <c r="A6" s="7" t="s">
        <v>16</v>
      </c>
      <c r="B6" s="322" t="s">
        <v>297</v>
      </c>
      <c r="C6" s="322"/>
      <c r="D6" s="322"/>
      <c r="E6" s="322"/>
    </row>
    <row r="7" spans="1:8" ht="19" x14ac:dyDescent="0.2">
      <c r="A7" s="7" t="s">
        <v>70</v>
      </c>
      <c r="B7" s="322" t="s">
        <v>100</v>
      </c>
      <c r="C7" s="322"/>
      <c r="D7" s="322"/>
      <c r="E7" s="322"/>
    </row>
    <row r="8" spans="1:8" ht="20" thickBot="1" x14ac:dyDescent="0.25">
      <c r="A8" s="7"/>
    </row>
    <row r="9" spans="1:8" s="21" customFormat="1" ht="18" thickBot="1" x14ac:dyDescent="0.25">
      <c r="A9" s="226" t="s">
        <v>21</v>
      </c>
      <c r="B9" s="227" t="s">
        <v>48</v>
      </c>
      <c r="C9" s="228" t="s">
        <v>78</v>
      </c>
      <c r="D9" s="229"/>
      <c r="E9" s="228" t="s">
        <v>79</v>
      </c>
      <c r="F9" s="229" t="s">
        <v>80</v>
      </c>
      <c r="G9" s="227" t="s">
        <v>91</v>
      </c>
      <c r="H9" s="230" t="s">
        <v>81</v>
      </c>
    </row>
    <row r="10" spans="1:8" s="21" customFormat="1" ht="17" x14ac:dyDescent="0.2">
      <c r="A10" s="224" t="s">
        <v>95</v>
      </c>
      <c r="B10" s="200"/>
      <c r="C10" s="203"/>
      <c r="D10" s="204"/>
      <c r="E10" s="203"/>
      <c r="F10" s="204"/>
      <c r="G10" s="200"/>
      <c r="H10" s="225"/>
    </row>
    <row r="11" spans="1:8" ht="15" x14ac:dyDescent="0.2">
      <c r="A11" s="245" t="s">
        <v>84</v>
      </c>
      <c r="B11" s="236"/>
      <c r="C11" s="237"/>
      <c r="D11" s="238"/>
      <c r="E11" s="237"/>
      <c r="F11" s="238"/>
      <c r="G11" s="236"/>
      <c r="H11" s="246"/>
    </row>
    <row r="12" spans="1:8" ht="15" x14ac:dyDescent="0.2">
      <c r="A12" s="220" t="s">
        <v>163</v>
      </c>
      <c r="B12" s="202">
        <v>1</v>
      </c>
      <c r="C12" s="207">
        <f>Meterstanden!L42</f>
        <v>20671</v>
      </c>
      <c r="D12" s="208" t="s">
        <v>87</v>
      </c>
      <c r="E12" s="211">
        <v>1.89</v>
      </c>
      <c r="F12" s="208" t="s">
        <v>86</v>
      </c>
      <c r="G12" s="213">
        <f t="shared" ref="G12" si="0">C12*E12/1000</f>
        <v>39.068189999999994</v>
      </c>
      <c r="H12" s="221" t="s">
        <v>296</v>
      </c>
    </row>
    <row r="13" spans="1:8" ht="15" x14ac:dyDescent="0.2">
      <c r="A13" s="218" t="s">
        <v>159</v>
      </c>
      <c r="B13" s="201"/>
      <c r="C13" s="205"/>
      <c r="D13" s="206"/>
      <c r="E13" s="205"/>
      <c r="F13" s="206"/>
      <c r="G13" s="201"/>
      <c r="H13" s="219"/>
    </row>
    <row r="14" spans="1:8" ht="16" x14ac:dyDescent="0.2">
      <c r="A14" s="220" t="s">
        <v>160</v>
      </c>
      <c r="B14" s="202">
        <v>1</v>
      </c>
      <c r="C14" s="209">
        <v>119442.44</v>
      </c>
      <c r="D14" s="210" t="s">
        <v>24</v>
      </c>
      <c r="E14" s="212">
        <v>3.3090000000000002</v>
      </c>
      <c r="F14" s="208" t="s">
        <v>88</v>
      </c>
      <c r="G14" s="213">
        <f>C14*E14/1000</f>
        <v>395.23503396000001</v>
      </c>
      <c r="H14" s="221" t="s">
        <v>294</v>
      </c>
    </row>
    <row r="15" spans="1:8" ht="15" x14ac:dyDescent="0.2">
      <c r="A15" s="218" t="s">
        <v>98</v>
      </c>
      <c r="B15" s="201"/>
      <c r="C15" s="205"/>
      <c r="D15" s="206"/>
      <c r="E15" s="205"/>
      <c r="F15" s="206"/>
      <c r="G15" s="201"/>
      <c r="H15" s="219"/>
    </row>
    <row r="16" spans="1:8" ht="15" x14ac:dyDescent="0.2">
      <c r="A16" s="220" t="s">
        <v>161</v>
      </c>
      <c r="B16" s="202">
        <v>1</v>
      </c>
      <c r="C16" s="209">
        <f>21*10.5*2</f>
        <v>441</v>
      </c>
      <c r="D16" s="208" t="s">
        <v>25</v>
      </c>
      <c r="E16" s="212">
        <v>1.798</v>
      </c>
      <c r="F16" s="208" t="s">
        <v>88</v>
      </c>
      <c r="G16" s="213">
        <f>C16*E16/1000</f>
        <v>0.79291800000000001</v>
      </c>
      <c r="H16" s="221" t="s">
        <v>292</v>
      </c>
    </row>
    <row r="17" spans="1:9" ht="15" x14ac:dyDescent="0.2">
      <c r="A17" s="220" t="s">
        <v>168</v>
      </c>
      <c r="B17" s="202">
        <v>1</v>
      </c>
      <c r="C17" s="209">
        <f>(58-3-2-2)*10.5*2</f>
        <v>1071</v>
      </c>
      <c r="D17" s="208" t="s">
        <v>167</v>
      </c>
      <c r="E17" s="212">
        <v>1.7250000000000001</v>
      </c>
      <c r="F17" s="208" t="s">
        <v>88</v>
      </c>
      <c r="G17" s="213">
        <f t="shared" ref="G17:G18" si="1">C17*E17/1000</f>
        <v>1.8474750000000002</v>
      </c>
      <c r="H17" s="221" t="s">
        <v>293</v>
      </c>
    </row>
    <row r="18" spans="1:9" ht="15" x14ac:dyDescent="0.2">
      <c r="A18" s="222" t="s">
        <v>89</v>
      </c>
      <c r="B18" s="199">
        <v>1</v>
      </c>
      <c r="C18" s="214">
        <v>3458.3</v>
      </c>
      <c r="D18" s="198" t="s">
        <v>167</v>
      </c>
      <c r="E18" s="215">
        <v>2.8839999999999999</v>
      </c>
      <c r="F18" s="198" t="s">
        <v>88</v>
      </c>
      <c r="G18" s="216">
        <f t="shared" si="1"/>
        <v>9.9737372000000004</v>
      </c>
      <c r="H18" s="223" t="s">
        <v>295</v>
      </c>
    </row>
    <row r="19" spans="1:9" ht="17" x14ac:dyDescent="0.2">
      <c r="A19" s="231" t="s">
        <v>96</v>
      </c>
      <c r="B19" s="232"/>
      <c r="C19" s="233"/>
      <c r="D19" s="234"/>
      <c r="E19" s="233"/>
      <c r="F19" s="234"/>
      <c r="G19" s="232"/>
      <c r="H19" s="235"/>
    </row>
    <row r="20" spans="1:9" ht="15" x14ac:dyDescent="0.2">
      <c r="A20" s="245" t="s">
        <v>83</v>
      </c>
      <c r="B20" s="236"/>
      <c r="C20" s="237"/>
      <c r="D20" s="238"/>
      <c r="E20" s="237"/>
      <c r="F20" s="238"/>
      <c r="G20" s="236"/>
      <c r="H20" s="246"/>
    </row>
    <row r="21" spans="1:9" ht="15" x14ac:dyDescent="0.2">
      <c r="A21" s="222" t="s">
        <v>4</v>
      </c>
      <c r="B21" s="199">
        <v>2</v>
      </c>
      <c r="C21" s="244">
        <f>Meterstanden!G34</f>
        <v>26637.64534883721</v>
      </c>
      <c r="D21" s="198" t="s">
        <v>2</v>
      </c>
      <c r="E21" s="217">
        <v>0.64900000000000002</v>
      </c>
      <c r="F21" s="198" t="s">
        <v>85</v>
      </c>
      <c r="G21" s="216">
        <f t="shared" ref="G21" si="2">C21*E21/1000</f>
        <v>17.287831831395348</v>
      </c>
      <c r="H21" s="223" t="s">
        <v>296</v>
      </c>
    </row>
    <row r="22" spans="1:9" ht="22" thickBot="1" x14ac:dyDescent="0.25">
      <c r="A22" s="239" t="s">
        <v>13</v>
      </c>
      <c r="B22" s="240"/>
      <c r="C22" s="241"/>
      <c r="D22" s="242"/>
      <c r="E22" s="241"/>
      <c r="F22" s="242"/>
      <c r="G22" s="253">
        <f>SUM(G11:G21)</f>
        <v>464.20518599139535</v>
      </c>
      <c r="H22" s="243"/>
    </row>
    <row r="24" spans="1:9" ht="16" x14ac:dyDescent="0.2">
      <c r="D24" s="41"/>
      <c r="E24" s="41"/>
      <c r="F24" s="44" t="s">
        <v>97</v>
      </c>
      <c r="G24" s="45"/>
    </row>
    <row r="25" spans="1:9" ht="16" x14ac:dyDescent="0.2">
      <c r="D25" s="41"/>
      <c r="E25" s="41"/>
      <c r="F25" s="42" t="s">
        <v>95</v>
      </c>
      <c r="G25" s="43">
        <f>SUM(G11:G18)</f>
        <v>446.91735416</v>
      </c>
      <c r="H25" s="249"/>
      <c r="I25" s="250"/>
    </row>
    <row r="26" spans="1:9" ht="16" x14ac:dyDescent="0.2">
      <c r="D26" s="41"/>
      <c r="E26" s="41"/>
      <c r="F26" s="46" t="s">
        <v>96</v>
      </c>
      <c r="G26" s="47">
        <f>SUM(G19:G21)</f>
        <v>17.287831831395348</v>
      </c>
      <c r="H26" s="251"/>
      <c r="I26" s="250"/>
    </row>
    <row r="27" spans="1:9" ht="16" x14ac:dyDescent="0.2">
      <c r="D27" s="321" t="s">
        <v>99</v>
      </c>
      <c r="E27" s="321"/>
      <c r="F27" s="321"/>
      <c r="G27" s="321"/>
      <c r="H27" s="252"/>
    </row>
    <row r="28" spans="1:9" ht="16" x14ac:dyDescent="0.2">
      <c r="D28" s="321" t="s">
        <v>82</v>
      </c>
      <c r="E28" s="321"/>
      <c r="F28" s="321"/>
      <c r="G28" s="43">
        <f>G14</f>
        <v>395.23503396000001</v>
      </c>
      <c r="H28" s="247">
        <f>G28/$G$22</f>
        <v>0.85142313331959674</v>
      </c>
    </row>
    <row r="29" spans="1:9" ht="16" x14ac:dyDescent="0.2">
      <c r="D29" s="321" t="s">
        <v>98</v>
      </c>
      <c r="E29" s="321"/>
      <c r="F29" s="321"/>
      <c r="G29" s="43">
        <f>G16+G17+G18</f>
        <v>12.614130200000002</v>
      </c>
      <c r="H29" s="247">
        <f t="shared" ref="H29:H31" si="3">G29/$G$22</f>
        <v>2.7173608957125742E-2</v>
      </c>
    </row>
    <row r="30" spans="1:9" ht="16" x14ac:dyDescent="0.2">
      <c r="D30" s="321" t="s">
        <v>83</v>
      </c>
      <c r="E30" s="321"/>
      <c r="F30" s="321"/>
      <c r="G30" s="43">
        <f>G21</f>
        <v>17.287831831395348</v>
      </c>
      <c r="H30" s="247">
        <f t="shared" si="3"/>
        <v>3.724178952131698E-2</v>
      </c>
    </row>
    <row r="31" spans="1:9" ht="16" x14ac:dyDescent="0.2">
      <c r="D31" s="321" t="s">
        <v>84</v>
      </c>
      <c r="E31" s="321"/>
      <c r="F31" s="321"/>
      <c r="G31" s="43">
        <f>G12</f>
        <v>39.068189999999994</v>
      </c>
      <c r="H31" s="247">
        <f t="shared" si="3"/>
        <v>8.4161468201960535E-2</v>
      </c>
    </row>
  </sheetData>
  <sheetProtection algorithmName="SHA-512" hashValue="hzRaW3JIlEV52ecKMKomDciCBZPsxiOht7vxp+y0pqe/3EQK68PwqZFq915e3X6N//8WYmP/2uNUqkIZM11kRw==" saltValue="1Rb1I/27QCQn6q3fv2MHGQ==" spinCount="100000" sheet="1" objects="1" scenarios="1"/>
  <mergeCells count="11">
    <mergeCell ref="B7:E7"/>
    <mergeCell ref="A1:H1"/>
    <mergeCell ref="B3:E3"/>
    <mergeCell ref="B4:E4"/>
    <mergeCell ref="B5:E5"/>
    <mergeCell ref="B6:E6"/>
    <mergeCell ref="D27:G27"/>
    <mergeCell ref="D28:F28"/>
    <mergeCell ref="D29:F29"/>
    <mergeCell ref="D30:F30"/>
    <mergeCell ref="D31:F31"/>
  </mergeCells>
  <conditionalFormatting sqref="A16:A18">
    <cfRule type="expression" dxfId="67" priority="4">
      <formula>#REF!="Nee"</formula>
    </cfRule>
  </conditionalFormatting>
  <conditionalFormatting sqref="A12:G12">
    <cfRule type="expression" dxfId="66" priority="2">
      <formula>#REF!="nee"</formula>
    </cfRule>
  </conditionalFormatting>
  <conditionalFormatting sqref="A14:G14 G16:G18">
    <cfRule type="expression" dxfId="65" priority="14">
      <formula>#REF!="Nee"</formula>
    </cfRule>
  </conditionalFormatting>
  <conditionalFormatting sqref="A21:G21">
    <cfRule type="expression" dxfId="64" priority="12">
      <formula>#REF!="nee"</formula>
    </cfRule>
  </conditionalFormatting>
  <conditionalFormatting sqref="E14:F14 B16:G18">
    <cfRule type="expression" dxfId="63" priority="13">
      <formula>#REF!="nee"</formula>
    </cfRule>
  </conditionalFormatting>
  <conditionalFormatting sqref="G12">
    <cfRule type="expression" dxfId="62" priority="1">
      <formula>#REF!="Nee"</formula>
    </cfRule>
  </conditionalFormatting>
  <conditionalFormatting sqref="G21">
    <cfRule type="expression" dxfId="61" priority="11">
      <formula>#REF!="Nee"</formula>
    </cfRule>
  </conditionalFormatting>
  <pageMargins left="0.7" right="0.7" top="0.75" bottom="0.75" header="0.3" footer="0.3"/>
  <pageSetup paperSize="9" orientation="portrait"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969C-8A10-D846-93F9-DAE14EAD9B7C}">
  <dimension ref="A1:I31"/>
  <sheetViews>
    <sheetView workbookViewId="0">
      <selection activeCell="O45" sqref="O45"/>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39.1640625" style="15" customWidth="1"/>
    <col min="9" max="16384" width="8.83203125" style="15"/>
  </cols>
  <sheetData>
    <row r="1" spans="1:9" ht="21" x14ac:dyDescent="0.2">
      <c r="A1" s="323" t="s">
        <v>306</v>
      </c>
      <c r="B1" s="323"/>
      <c r="C1" s="323"/>
      <c r="D1" s="323"/>
      <c r="E1" s="323"/>
      <c r="F1" s="323"/>
      <c r="G1" s="323"/>
      <c r="H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307</v>
      </c>
      <c r="C5" s="322"/>
      <c r="D5" s="322"/>
      <c r="E5" s="322"/>
    </row>
    <row r="6" spans="1:9" ht="19" x14ac:dyDescent="0.2">
      <c r="A6" s="7" t="s">
        <v>16</v>
      </c>
      <c r="B6" s="322" t="s">
        <v>308</v>
      </c>
      <c r="C6" s="322"/>
      <c r="D6" s="322"/>
      <c r="E6" s="322"/>
    </row>
    <row r="7" spans="1:9" ht="19" x14ac:dyDescent="0.2">
      <c r="A7" s="7" t="s">
        <v>70</v>
      </c>
      <c r="B7" s="322" t="s">
        <v>100</v>
      </c>
      <c r="C7" s="322"/>
      <c r="D7" s="322"/>
      <c r="E7" s="322"/>
    </row>
    <row r="8" spans="1:9" ht="20" thickBot="1" x14ac:dyDescent="0.25">
      <c r="A8" s="7"/>
    </row>
    <row r="9" spans="1:9" s="21" customFormat="1" ht="18" thickBot="1" x14ac:dyDescent="0.25">
      <c r="A9" s="226" t="s">
        <v>21</v>
      </c>
      <c r="B9" s="227" t="s">
        <v>48</v>
      </c>
      <c r="C9" s="228" t="s">
        <v>78</v>
      </c>
      <c r="D9" s="229"/>
      <c r="E9" s="228" t="s">
        <v>79</v>
      </c>
      <c r="F9" s="229" t="s">
        <v>80</v>
      </c>
      <c r="G9" s="227" t="s">
        <v>91</v>
      </c>
      <c r="H9" s="230" t="s">
        <v>81</v>
      </c>
    </row>
    <row r="10" spans="1:9" s="21" customFormat="1" ht="17" x14ac:dyDescent="0.2">
      <c r="A10" s="224" t="s">
        <v>95</v>
      </c>
      <c r="B10" s="200"/>
      <c r="C10" s="203"/>
      <c r="D10" s="204"/>
      <c r="E10" s="203"/>
      <c r="F10" s="204"/>
      <c r="G10" s="200"/>
      <c r="H10" s="225"/>
    </row>
    <row r="11" spans="1:9" ht="15" x14ac:dyDescent="0.2">
      <c r="A11" s="245" t="s">
        <v>84</v>
      </c>
      <c r="B11" s="236"/>
      <c r="C11" s="237"/>
      <c r="D11" s="238"/>
      <c r="E11" s="237"/>
      <c r="F11" s="238"/>
      <c r="G11" s="236"/>
      <c r="H11" s="246"/>
    </row>
    <row r="12" spans="1:9" ht="15" x14ac:dyDescent="0.2">
      <c r="A12" s="220" t="s">
        <v>163</v>
      </c>
      <c r="B12" s="202">
        <v>1</v>
      </c>
      <c r="C12" s="256">
        <f>Meterstanden!M45</f>
        <v>5121</v>
      </c>
      <c r="D12" s="208" t="s">
        <v>87</v>
      </c>
      <c r="E12" s="211">
        <v>1.8839999999999999</v>
      </c>
      <c r="F12" s="208" t="s">
        <v>86</v>
      </c>
      <c r="G12" s="213">
        <f>C12*E12/1000</f>
        <v>9.647964</v>
      </c>
      <c r="H12" s="221" t="s">
        <v>314</v>
      </c>
      <c r="I12" s="259">
        <f>G12/$G$22</f>
        <v>2.1270990412447753E-2</v>
      </c>
    </row>
    <row r="13" spans="1:9" ht="15" x14ac:dyDescent="0.2">
      <c r="A13" s="218" t="s">
        <v>159</v>
      </c>
      <c r="B13" s="201"/>
      <c r="C13" s="205"/>
      <c r="D13" s="206"/>
      <c r="E13" s="205"/>
      <c r="F13" s="206"/>
      <c r="G13" s="201"/>
      <c r="H13" s="219"/>
      <c r="I13" s="259"/>
    </row>
    <row r="14" spans="1:9" ht="16" x14ac:dyDescent="0.2">
      <c r="A14" s="220" t="s">
        <v>160</v>
      </c>
      <c r="B14" s="202">
        <v>1</v>
      </c>
      <c r="C14" s="257">
        <v>127171</v>
      </c>
      <c r="D14" s="210" t="s">
        <v>24</v>
      </c>
      <c r="E14" s="212">
        <v>3.262</v>
      </c>
      <c r="F14" s="208" t="s">
        <v>88</v>
      </c>
      <c r="G14" s="213">
        <f>C14*E14/1000</f>
        <v>414.83180200000004</v>
      </c>
      <c r="H14" s="221" t="s">
        <v>310</v>
      </c>
      <c r="I14" s="259">
        <f t="shared" ref="I14:I21" si="0">G14/$G$22</f>
        <v>0.9145850132857487</v>
      </c>
    </row>
    <row r="15" spans="1:9" ht="15" x14ac:dyDescent="0.2">
      <c r="A15" s="218" t="s">
        <v>98</v>
      </c>
      <c r="B15" s="201"/>
      <c r="C15" s="205"/>
      <c r="D15" s="206"/>
      <c r="E15" s="205"/>
      <c r="F15" s="206"/>
      <c r="G15" s="201"/>
      <c r="H15" s="219"/>
      <c r="I15" s="259"/>
    </row>
    <row r="16" spans="1:9" ht="15" x14ac:dyDescent="0.2">
      <c r="A16" s="220" t="s">
        <v>161</v>
      </c>
      <c r="B16" s="202">
        <v>1</v>
      </c>
      <c r="C16" s="209">
        <f>31*10.5*2</f>
        <v>651</v>
      </c>
      <c r="D16" s="208" t="s">
        <v>25</v>
      </c>
      <c r="E16" s="212">
        <v>1.798</v>
      </c>
      <c r="F16" s="208" t="s">
        <v>88</v>
      </c>
      <c r="G16" s="213">
        <f>C16*E16/1000</f>
        <v>1.170498</v>
      </c>
      <c r="H16" s="221" t="s">
        <v>311</v>
      </c>
      <c r="I16" s="259">
        <f t="shared" si="0"/>
        <v>2.5806120064077011E-3</v>
      </c>
    </row>
    <row r="17" spans="1:9" ht="15" x14ac:dyDescent="0.2">
      <c r="A17" s="220" t="s">
        <v>168</v>
      </c>
      <c r="B17" s="202">
        <v>1</v>
      </c>
      <c r="C17" s="209">
        <f>(85-2-2-3)*10.5*2</f>
        <v>1638</v>
      </c>
      <c r="D17" s="208" t="s">
        <v>167</v>
      </c>
      <c r="E17" s="212">
        <v>1.7250000000000001</v>
      </c>
      <c r="F17" s="208" t="s">
        <v>88</v>
      </c>
      <c r="G17" s="213">
        <f>C17*E17/1000</f>
        <v>2.8255500000000002</v>
      </c>
      <c r="H17" s="221" t="s">
        <v>312</v>
      </c>
      <c r="I17" s="259">
        <f t="shared" si="0"/>
        <v>6.2295264534456959E-3</v>
      </c>
    </row>
    <row r="18" spans="1:9" ht="15" x14ac:dyDescent="0.2">
      <c r="A18" s="222" t="s">
        <v>89</v>
      </c>
      <c r="B18" s="199">
        <v>1</v>
      </c>
      <c r="C18" s="258">
        <v>3395.91</v>
      </c>
      <c r="D18" s="198" t="s">
        <v>167</v>
      </c>
      <c r="E18" s="215">
        <v>2.7839999999999998</v>
      </c>
      <c r="F18" s="198" t="s">
        <v>88</v>
      </c>
      <c r="G18" s="216">
        <f>C18*E18/1000</f>
        <v>9.4542134400000002</v>
      </c>
      <c r="H18" s="223" t="s">
        <v>313</v>
      </c>
      <c r="I18" s="259">
        <f t="shared" si="0"/>
        <v>2.0843826058998011E-2</v>
      </c>
    </row>
    <row r="19" spans="1:9" ht="17" x14ac:dyDescent="0.2">
      <c r="A19" s="231" t="s">
        <v>96</v>
      </c>
      <c r="B19" s="232"/>
      <c r="C19" s="233"/>
      <c r="D19" s="234"/>
      <c r="E19" s="233"/>
      <c r="F19" s="234"/>
      <c r="G19" s="232"/>
      <c r="H19" s="235"/>
      <c r="I19" s="259"/>
    </row>
    <row r="20" spans="1:9" ht="15" x14ac:dyDescent="0.2">
      <c r="A20" s="245" t="s">
        <v>83</v>
      </c>
      <c r="B20" s="236"/>
      <c r="C20" s="237"/>
      <c r="D20" s="238"/>
      <c r="E20" s="237"/>
      <c r="F20" s="238"/>
      <c r="G20" s="236"/>
      <c r="H20" s="246"/>
      <c r="I20" s="259"/>
    </row>
    <row r="21" spans="1:9" ht="15" x14ac:dyDescent="0.2">
      <c r="A21" s="222" t="s">
        <v>4</v>
      </c>
      <c r="B21" s="199">
        <v>2</v>
      </c>
      <c r="C21" s="244">
        <f>Meterstanden!G46</f>
        <v>28136.285714285714</v>
      </c>
      <c r="D21" s="198" t="s">
        <v>2</v>
      </c>
      <c r="E21" s="217">
        <v>0.55600000000000005</v>
      </c>
      <c r="F21" s="198" t="s">
        <v>85</v>
      </c>
      <c r="G21" s="216">
        <f>C21*E21/1000</f>
        <v>15.643774857142859</v>
      </c>
      <c r="H21" s="223" t="s">
        <v>314</v>
      </c>
      <c r="I21" s="259">
        <f t="shared" si="0"/>
        <v>3.4490031782952027E-2</v>
      </c>
    </row>
    <row r="22" spans="1:9" ht="22" thickBot="1" x14ac:dyDescent="0.25">
      <c r="A22" s="239" t="s">
        <v>13</v>
      </c>
      <c r="B22" s="240"/>
      <c r="C22" s="241"/>
      <c r="D22" s="242"/>
      <c r="E22" s="241"/>
      <c r="F22" s="242"/>
      <c r="G22" s="253">
        <f>SUM(G11:G21)</f>
        <v>453.57380229714295</v>
      </c>
      <c r="H22" s="243"/>
    </row>
    <row r="24" spans="1:9" ht="16" x14ac:dyDescent="0.2">
      <c r="D24" s="41"/>
      <c r="E24" s="41"/>
      <c r="F24" s="44" t="s">
        <v>97</v>
      </c>
      <c r="G24" s="45"/>
    </row>
    <row r="25" spans="1:9" ht="16" x14ac:dyDescent="0.2">
      <c r="D25" s="41"/>
      <c r="E25" s="41"/>
      <c r="F25" s="42" t="s">
        <v>95</v>
      </c>
      <c r="G25" s="43">
        <f>SUM(G11:G18)</f>
        <v>437.93002744000006</v>
      </c>
      <c r="H25" s="249"/>
      <c r="I25" s="250"/>
    </row>
    <row r="26" spans="1:9" ht="16" x14ac:dyDescent="0.2">
      <c r="D26" s="41"/>
      <c r="E26" s="41"/>
      <c r="F26" s="46" t="s">
        <v>96</v>
      </c>
      <c r="G26" s="47">
        <f>SUM(G19:G21)</f>
        <v>15.643774857142859</v>
      </c>
      <c r="H26" s="251"/>
      <c r="I26" s="250"/>
    </row>
    <row r="27" spans="1:9" ht="16" x14ac:dyDescent="0.2">
      <c r="D27" s="321" t="s">
        <v>99</v>
      </c>
      <c r="E27" s="321"/>
      <c r="F27" s="321"/>
      <c r="G27" s="321"/>
      <c r="H27" s="252"/>
    </row>
    <row r="28" spans="1:9" ht="16" x14ac:dyDescent="0.2">
      <c r="D28" s="321" t="s">
        <v>82</v>
      </c>
      <c r="E28" s="321"/>
      <c r="F28" s="321"/>
      <c r="G28" s="43">
        <f>G14</f>
        <v>414.83180200000004</v>
      </c>
      <c r="H28" s="247">
        <f>G28/$G$22</f>
        <v>0.9145850132857487</v>
      </c>
    </row>
    <row r="29" spans="1:9" ht="16" x14ac:dyDescent="0.2">
      <c r="D29" s="321" t="s">
        <v>98</v>
      </c>
      <c r="E29" s="321"/>
      <c r="F29" s="321"/>
      <c r="G29" s="43">
        <f>G16+G17+G18</f>
        <v>13.45026144</v>
      </c>
      <c r="H29" s="247">
        <f t="shared" ref="H29:H31" si="1">G29/$G$22</f>
        <v>2.9653964518851408E-2</v>
      </c>
    </row>
    <row r="30" spans="1:9" ht="16" x14ac:dyDescent="0.2">
      <c r="D30" s="321" t="s">
        <v>83</v>
      </c>
      <c r="E30" s="321"/>
      <c r="F30" s="321"/>
      <c r="G30" s="43">
        <f>G21</f>
        <v>15.643774857142859</v>
      </c>
      <c r="H30" s="247">
        <f t="shared" si="1"/>
        <v>3.4490031782952027E-2</v>
      </c>
    </row>
    <row r="31" spans="1:9" ht="16" x14ac:dyDescent="0.2">
      <c r="D31" s="321" t="s">
        <v>84</v>
      </c>
      <c r="E31" s="321"/>
      <c r="F31" s="321"/>
      <c r="G31" s="43">
        <f>G12</f>
        <v>9.647964</v>
      </c>
      <c r="H31" s="247">
        <f t="shared" si="1"/>
        <v>2.1270990412447753E-2</v>
      </c>
    </row>
  </sheetData>
  <sheetProtection algorithmName="SHA-512" hashValue="+2dx/7qfpUYZLJOxzw4HB+DnZwDBo0j4bSUDEQZ53XzvWcysJnwnS5Ad2Ix2rZkJykTYMqKrYXWYv34ztwUwqg==" saltValue="8J0bTdHQPmAxcvOeNTbSpA==" spinCount="100000" sheet="1" objects="1" scenarios="1"/>
  <mergeCells count="11">
    <mergeCell ref="D27:G27"/>
    <mergeCell ref="D28:F28"/>
    <mergeCell ref="D29:F29"/>
    <mergeCell ref="D30:F30"/>
    <mergeCell ref="D31:F31"/>
    <mergeCell ref="B7:E7"/>
    <mergeCell ref="A1:H1"/>
    <mergeCell ref="B3:E3"/>
    <mergeCell ref="B4:E4"/>
    <mergeCell ref="B5:E5"/>
    <mergeCell ref="B6:E6"/>
  </mergeCells>
  <conditionalFormatting sqref="A16:A18">
    <cfRule type="expression" dxfId="60" priority="4">
      <formula>#REF!="Nee"</formula>
    </cfRule>
  </conditionalFormatting>
  <conditionalFormatting sqref="A12:G12">
    <cfRule type="expression" dxfId="59" priority="2">
      <formula>#REF!="nee"</formula>
    </cfRule>
  </conditionalFormatting>
  <conditionalFormatting sqref="A14:G14 G16:G18">
    <cfRule type="expression" dxfId="58" priority="8">
      <formula>#REF!="Nee"</formula>
    </cfRule>
  </conditionalFormatting>
  <conditionalFormatting sqref="A21:G21">
    <cfRule type="expression" dxfId="57" priority="6">
      <formula>#REF!="nee"</formula>
    </cfRule>
  </conditionalFormatting>
  <conditionalFormatting sqref="E14:F14 B16:G18">
    <cfRule type="expression" dxfId="56" priority="7">
      <formula>#REF!="nee"</formula>
    </cfRule>
  </conditionalFormatting>
  <conditionalFormatting sqref="G12">
    <cfRule type="expression" dxfId="55" priority="1">
      <formula>#REF!="Nee"</formula>
    </cfRule>
  </conditionalFormatting>
  <conditionalFormatting sqref="G21">
    <cfRule type="expression" dxfId="54" priority="5">
      <formula>#REF!="Nee"</formula>
    </cfRule>
  </conditionalFormatting>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workbookViewId="0"/>
  </sheetViews>
  <sheetFormatPr baseColWidth="10" defaultColWidth="8.83203125" defaultRowHeight="14" x14ac:dyDescent="0.2"/>
  <cols>
    <col min="1" max="1" width="41.33203125" style="15" customWidth="1"/>
    <col min="2" max="2" width="6.83203125" style="15" bestFit="1" customWidth="1"/>
    <col min="3" max="3" width="10.33203125" style="15" customWidth="1"/>
    <col min="4" max="4" width="12.6640625" style="15" customWidth="1"/>
    <col min="5" max="5" width="40.6640625" style="15" customWidth="1"/>
    <col min="6" max="6" width="33.33203125" style="15" customWidth="1"/>
    <col min="7" max="7" width="39" style="15" customWidth="1"/>
    <col min="8" max="8" width="20" style="15" customWidth="1"/>
    <col min="9" max="9" width="46.1640625" style="15" customWidth="1"/>
    <col min="10" max="16384" width="8.83203125" style="15"/>
  </cols>
  <sheetData>
    <row r="1" spans="1:9" ht="19" x14ac:dyDescent="0.15">
      <c r="A1" s="7" t="s">
        <v>17</v>
      </c>
      <c r="I1" s="1"/>
    </row>
    <row r="2" spans="1:9" s="21" customFormat="1" ht="17" x14ac:dyDescent="0.2">
      <c r="A2" s="22" t="s">
        <v>21</v>
      </c>
      <c r="B2" s="22" t="s">
        <v>48</v>
      </c>
      <c r="C2" s="22" t="s">
        <v>22</v>
      </c>
      <c r="D2" s="22" t="s">
        <v>0</v>
      </c>
      <c r="E2" s="22" t="s">
        <v>62</v>
      </c>
      <c r="F2" s="22" t="s">
        <v>63</v>
      </c>
      <c r="G2" s="22" t="s">
        <v>64</v>
      </c>
      <c r="H2" s="22" t="s">
        <v>47</v>
      </c>
      <c r="I2" s="23" t="s">
        <v>5</v>
      </c>
    </row>
    <row r="3" spans="1:9" ht="15" x14ac:dyDescent="0.2">
      <c r="A3" s="24" t="s">
        <v>23</v>
      </c>
      <c r="B3" s="25"/>
      <c r="C3" s="25"/>
      <c r="D3" s="25"/>
      <c r="E3" s="25"/>
      <c r="F3" s="25"/>
      <c r="G3" s="25"/>
      <c r="H3" s="25"/>
      <c r="I3" s="26"/>
    </row>
    <row r="4" spans="1:9" ht="28.5" customHeight="1" x14ac:dyDescent="0.15">
      <c r="A4" s="3" t="s">
        <v>7</v>
      </c>
      <c r="B4" s="9">
        <v>1</v>
      </c>
      <c r="C4" s="10" t="s">
        <v>28</v>
      </c>
      <c r="D4" s="8" t="s">
        <v>24</v>
      </c>
      <c r="E4" s="8"/>
      <c r="F4" s="8"/>
      <c r="G4" s="8"/>
      <c r="H4" s="8"/>
      <c r="I4" s="2"/>
    </row>
    <row r="5" spans="1:9" ht="16" x14ac:dyDescent="0.15">
      <c r="A5" s="3" t="s">
        <v>8</v>
      </c>
      <c r="B5" s="9">
        <v>1</v>
      </c>
      <c r="C5" s="10" t="s">
        <v>73</v>
      </c>
      <c r="D5" s="8" t="s">
        <v>25</v>
      </c>
      <c r="E5" s="14"/>
      <c r="F5" s="14"/>
      <c r="G5" s="9"/>
      <c r="H5" s="9"/>
      <c r="I5" s="2"/>
    </row>
    <row r="6" spans="1:9" ht="32" x14ac:dyDescent="0.15">
      <c r="A6" s="3" t="s">
        <v>26</v>
      </c>
      <c r="B6" s="9">
        <v>1</v>
      </c>
      <c r="C6" s="10" t="s">
        <v>73</v>
      </c>
      <c r="D6" s="8" t="s">
        <v>25</v>
      </c>
      <c r="E6" s="14"/>
      <c r="F6" s="14"/>
      <c r="G6" s="9"/>
      <c r="H6" s="9"/>
      <c r="I6" s="2"/>
    </row>
    <row r="7" spans="1:9" ht="16" x14ac:dyDescent="0.15">
      <c r="A7" s="3" t="s">
        <v>55</v>
      </c>
      <c r="B7" s="9">
        <v>1</v>
      </c>
      <c r="C7" s="10" t="s">
        <v>73</v>
      </c>
      <c r="D7" s="12" t="s">
        <v>25</v>
      </c>
      <c r="E7" s="14"/>
      <c r="F7" s="14"/>
      <c r="G7" s="9"/>
      <c r="H7" s="9"/>
      <c r="I7" s="2"/>
    </row>
    <row r="8" spans="1:9" ht="16" x14ac:dyDescent="0.15">
      <c r="A8" s="8" t="s">
        <v>11</v>
      </c>
      <c r="B8" s="11">
        <v>2</v>
      </c>
      <c r="C8" s="10" t="s">
        <v>52</v>
      </c>
      <c r="D8" s="8" t="s">
        <v>27</v>
      </c>
      <c r="E8" s="14"/>
      <c r="F8" s="14"/>
      <c r="G8" s="9"/>
      <c r="H8" s="9"/>
      <c r="I8" s="2"/>
    </row>
    <row r="9" spans="1:9" ht="16" x14ac:dyDescent="0.15">
      <c r="A9" s="3" t="s">
        <v>65</v>
      </c>
      <c r="B9" s="11">
        <v>2</v>
      </c>
      <c r="C9" s="10" t="s">
        <v>73</v>
      </c>
      <c r="D9" s="8" t="s">
        <v>27</v>
      </c>
      <c r="E9" s="14"/>
      <c r="F9" s="14"/>
      <c r="G9" s="9"/>
      <c r="H9" s="9"/>
      <c r="I9" s="2"/>
    </row>
    <row r="10" spans="1:9" ht="16" x14ac:dyDescent="0.15">
      <c r="A10" s="8" t="s">
        <v>29</v>
      </c>
      <c r="B10" s="11">
        <v>2</v>
      </c>
      <c r="C10" s="10" t="s">
        <v>73</v>
      </c>
      <c r="D10" s="8" t="s">
        <v>27</v>
      </c>
      <c r="E10" s="27"/>
      <c r="F10" s="27"/>
      <c r="G10" s="9"/>
      <c r="H10" s="9"/>
      <c r="I10" s="2"/>
    </row>
    <row r="11" spans="1:9" ht="15" x14ac:dyDescent="0.2">
      <c r="A11" s="24" t="s">
        <v>30</v>
      </c>
      <c r="B11" s="25"/>
      <c r="C11" s="25"/>
      <c r="D11" s="25"/>
      <c r="E11" s="25"/>
      <c r="F11" s="25"/>
      <c r="G11" s="25"/>
      <c r="H11" s="25"/>
      <c r="I11" s="26"/>
    </row>
    <row r="12" spans="1:9" ht="16" x14ac:dyDescent="0.15">
      <c r="A12" s="3" t="s">
        <v>7</v>
      </c>
      <c r="B12" s="9">
        <v>1</v>
      </c>
      <c r="C12" s="9" t="s">
        <v>73</v>
      </c>
      <c r="D12" s="9" t="s">
        <v>25</v>
      </c>
      <c r="E12" s="8"/>
      <c r="F12" s="9"/>
      <c r="G12" s="9"/>
      <c r="H12" s="9"/>
      <c r="I12" s="2"/>
    </row>
    <row r="13" spans="1:9" ht="15" x14ac:dyDescent="0.2">
      <c r="A13" s="24" t="s">
        <v>49</v>
      </c>
      <c r="B13" s="25"/>
      <c r="C13" s="25"/>
      <c r="D13" s="25"/>
      <c r="E13" s="25"/>
      <c r="F13" s="25"/>
      <c r="G13" s="25"/>
      <c r="H13" s="25"/>
      <c r="I13" s="26"/>
    </row>
    <row r="14" spans="1:9" ht="16" x14ac:dyDescent="0.15">
      <c r="A14" s="8" t="s">
        <v>31</v>
      </c>
      <c r="B14" s="14">
        <v>2</v>
      </c>
      <c r="C14" s="9" t="s">
        <v>73</v>
      </c>
      <c r="D14" s="9" t="s">
        <v>2</v>
      </c>
      <c r="E14" s="9"/>
      <c r="F14" s="9"/>
      <c r="G14" s="9"/>
      <c r="H14" s="8"/>
      <c r="I14" s="2"/>
    </row>
    <row r="15" spans="1:9" ht="16" x14ac:dyDescent="0.15">
      <c r="A15" s="8" t="s">
        <v>4</v>
      </c>
      <c r="B15" s="14">
        <v>2</v>
      </c>
      <c r="C15" s="9" t="s">
        <v>74</v>
      </c>
      <c r="D15" s="9" t="s">
        <v>2</v>
      </c>
      <c r="E15" s="9"/>
      <c r="F15" s="8"/>
      <c r="G15" s="8"/>
      <c r="H15" s="8"/>
      <c r="I15" s="2"/>
    </row>
    <row r="16" spans="1:9" ht="16" x14ac:dyDescent="0.15">
      <c r="A16" s="8" t="s">
        <v>32</v>
      </c>
      <c r="B16" s="14">
        <v>2</v>
      </c>
      <c r="C16" s="9" t="s">
        <v>73</v>
      </c>
      <c r="D16" s="9" t="s">
        <v>54</v>
      </c>
      <c r="E16" s="9"/>
      <c r="F16" s="9"/>
      <c r="G16" s="9"/>
      <c r="H16" s="9"/>
      <c r="I16" s="2"/>
    </row>
    <row r="17" spans="1:9" ht="32" x14ac:dyDescent="0.15">
      <c r="A17" s="8" t="s">
        <v>67</v>
      </c>
      <c r="B17" s="14">
        <v>2</v>
      </c>
      <c r="C17" s="9" t="s">
        <v>73</v>
      </c>
      <c r="D17" s="9" t="s">
        <v>2</v>
      </c>
      <c r="E17" s="9"/>
      <c r="F17" s="9"/>
      <c r="G17" s="9"/>
      <c r="H17" s="9"/>
      <c r="I17" s="2"/>
    </row>
    <row r="18" spans="1:9" ht="15" x14ac:dyDescent="0.2">
      <c r="A18" s="24" t="s">
        <v>33</v>
      </c>
      <c r="B18" s="25"/>
      <c r="C18" s="25"/>
      <c r="D18" s="25"/>
      <c r="E18" s="25"/>
      <c r="F18" s="25"/>
      <c r="G18" s="25"/>
      <c r="H18" s="25"/>
      <c r="I18" s="26"/>
    </row>
    <row r="19" spans="1:9" ht="16" x14ac:dyDescent="0.15">
      <c r="A19" s="3" t="s">
        <v>34</v>
      </c>
      <c r="B19" s="13">
        <v>1</v>
      </c>
      <c r="C19" s="9" t="s">
        <v>74</v>
      </c>
      <c r="D19" s="16" t="s">
        <v>1</v>
      </c>
      <c r="E19" s="9"/>
      <c r="F19" s="8"/>
      <c r="G19" s="8"/>
      <c r="H19" s="16"/>
      <c r="I19" s="2"/>
    </row>
    <row r="20" spans="1:9" ht="16" x14ac:dyDescent="0.15">
      <c r="A20" s="3" t="s">
        <v>9</v>
      </c>
      <c r="B20" s="14">
        <v>1</v>
      </c>
      <c r="C20" s="9" t="s">
        <v>73</v>
      </c>
      <c r="D20" s="9" t="s">
        <v>25</v>
      </c>
      <c r="E20" s="8"/>
      <c r="F20" s="9"/>
      <c r="G20" s="9"/>
      <c r="H20" s="9"/>
      <c r="I20" s="2"/>
    </row>
    <row r="21" spans="1:9" ht="16" x14ac:dyDescent="0.15">
      <c r="A21" s="3" t="s">
        <v>10</v>
      </c>
      <c r="B21" s="14">
        <v>1</v>
      </c>
      <c r="C21" s="9" t="s">
        <v>73</v>
      </c>
      <c r="D21" s="9" t="s">
        <v>25</v>
      </c>
      <c r="E21" s="9"/>
      <c r="F21" s="9"/>
      <c r="G21" s="9"/>
      <c r="H21" s="9"/>
      <c r="I21" s="2"/>
    </row>
    <row r="22" spans="1:9" ht="16" x14ac:dyDescent="0.15">
      <c r="A22" s="3" t="s">
        <v>164</v>
      </c>
      <c r="B22" s="14">
        <v>1</v>
      </c>
      <c r="C22" s="9" t="s">
        <v>74</v>
      </c>
      <c r="D22" s="9" t="s">
        <v>25</v>
      </c>
      <c r="E22" s="9"/>
      <c r="F22" s="9"/>
      <c r="G22" s="9"/>
      <c r="H22" s="9"/>
      <c r="I22" s="2"/>
    </row>
    <row r="23" spans="1:9" ht="16" x14ac:dyDescent="0.15">
      <c r="A23" s="3" t="s">
        <v>75</v>
      </c>
      <c r="B23" s="14">
        <v>1</v>
      </c>
      <c r="C23" s="9" t="s">
        <v>73</v>
      </c>
      <c r="D23" s="9" t="s">
        <v>77</v>
      </c>
      <c r="E23" s="8"/>
      <c r="F23" s="8"/>
      <c r="G23" s="9"/>
      <c r="H23" s="9"/>
      <c r="I23" s="36"/>
    </row>
    <row r="24" spans="1:9" ht="16" x14ac:dyDescent="0.15">
      <c r="A24" s="3" t="s">
        <v>76</v>
      </c>
      <c r="B24" s="14">
        <v>1</v>
      </c>
      <c r="C24" s="9" t="s">
        <v>165</v>
      </c>
      <c r="D24" s="9" t="s">
        <v>77</v>
      </c>
      <c r="E24" s="9"/>
      <c r="F24" s="9"/>
      <c r="G24" s="9"/>
      <c r="H24" s="9"/>
      <c r="I24" s="2"/>
    </row>
    <row r="25" spans="1:9" ht="16" x14ac:dyDescent="0.15">
      <c r="A25" s="3" t="s">
        <v>35</v>
      </c>
      <c r="B25" s="14">
        <v>1</v>
      </c>
      <c r="C25" s="9" t="s">
        <v>73</v>
      </c>
      <c r="D25" s="9" t="s">
        <v>56</v>
      </c>
      <c r="E25" s="9"/>
      <c r="F25" s="9"/>
      <c r="G25" s="9"/>
      <c r="H25" s="9"/>
      <c r="I25" s="2"/>
    </row>
    <row r="26" spans="1:9" ht="16" x14ac:dyDescent="0.15">
      <c r="A26" s="3" t="s">
        <v>36</v>
      </c>
      <c r="B26" s="14">
        <v>1</v>
      </c>
      <c r="C26" s="9" t="s">
        <v>73</v>
      </c>
      <c r="D26" s="9" t="s">
        <v>56</v>
      </c>
      <c r="E26" s="9"/>
      <c r="F26" s="9"/>
      <c r="G26" s="9"/>
      <c r="H26" s="9"/>
      <c r="I26" s="2"/>
    </row>
    <row r="27" spans="1:9" ht="15" x14ac:dyDescent="0.2">
      <c r="A27" s="24" t="s">
        <v>37</v>
      </c>
      <c r="B27" s="25"/>
      <c r="C27" s="25"/>
      <c r="D27" s="25"/>
      <c r="E27" s="25"/>
      <c r="F27" s="25"/>
      <c r="G27" s="25"/>
      <c r="H27" s="25"/>
      <c r="I27" s="26"/>
    </row>
    <row r="28" spans="1:9" ht="16" x14ac:dyDescent="0.15">
      <c r="A28" s="8" t="s">
        <v>57</v>
      </c>
      <c r="B28" s="17">
        <v>2</v>
      </c>
      <c r="C28" s="9" t="s">
        <v>73</v>
      </c>
      <c r="D28" s="18"/>
      <c r="E28" s="18"/>
      <c r="F28" s="18"/>
      <c r="G28" s="18"/>
      <c r="H28" s="16"/>
      <c r="I28" s="2"/>
    </row>
    <row r="29" spans="1:9" ht="15" x14ac:dyDescent="0.2">
      <c r="A29" s="304" t="s">
        <v>38</v>
      </c>
      <c r="B29" s="305"/>
      <c r="C29" s="305"/>
      <c r="D29" s="305"/>
      <c r="E29" s="305"/>
      <c r="F29" s="305"/>
      <c r="G29" s="305"/>
      <c r="H29" s="305"/>
      <c r="I29" s="306"/>
    </row>
    <row r="30" spans="1:9" ht="16" x14ac:dyDescent="0.15">
      <c r="A30" s="8" t="s">
        <v>39</v>
      </c>
      <c r="B30" s="8"/>
      <c r="C30" s="8" t="s">
        <v>28</v>
      </c>
      <c r="D30" s="8" t="s">
        <v>40</v>
      </c>
      <c r="E30" s="8"/>
      <c r="F30" s="8"/>
      <c r="G30" s="8"/>
      <c r="H30" s="14"/>
      <c r="I30" s="2"/>
    </row>
    <row r="31" spans="1:9" ht="16" x14ac:dyDescent="0.15">
      <c r="A31" s="8" t="s">
        <v>58</v>
      </c>
      <c r="B31" s="8"/>
      <c r="C31" s="8" t="s">
        <v>28</v>
      </c>
      <c r="D31" s="8" t="s">
        <v>40</v>
      </c>
      <c r="E31" s="8"/>
      <c r="F31" s="8"/>
      <c r="G31" s="8"/>
      <c r="H31" s="14"/>
      <c r="I31" s="2"/>
    </row>
    <row r="32" spans="1:9" ht="16" x14ac:dyDescent="0.15">
      <c r="A32" s="8" t="s">
        <v>41</v>
      </c>
      <c r="B32" s="8"/>
      <c r="C32" s="8" t="s">
        <v>28</v>
      </c>
      <c r="D32" s="8" t="s">
        <v>42</v>
      </c>
      <c r="E32" s="8"/>
      <c r="F32" s="8"/>
      <c r="G32" s="8"/>
      <c r="H32" s="14"/>
      <c r="I32" s="2"/>
    </row>
    <row r="33" spans="1:9" ht="16" x14ac:dyDescent="0.15">
      <c r="A33" s="8" t="s">
        <v>43</v>
      </c>
      <c r="B33" s="8"/>
      <c r="C33" s="8" t="s">
        <v>28</v>
      </c>
      <c r="D33" s="8" t="s">
        <v>42</v>
      </c>
      <c r="E33" s="8"/>
      <c r="F33" s="8"/>
      <c r="G33" s="8"/>
      <c r="H33" s="14"/>
      <c r="I33" s="2"/>
    </row>
    <row r="34" spans="1:9" ht="18" x14ac:dyDescent="0.15">
      <c r="A34" s="8" t="s">
        <v>44</v>
      </c>
      <c r="B34" s="8"/>
      <c r="C34" s="8" t="s">
        <v>28</v>
      </c>
      <c r="D34" s="8" t="s">
        <v>50</v>
      </c>
      <c r="E34" s="8"/>
      <c r="F34" s="8"/>
      <c r="G34" s="8"/>
      <c r="H34" s="14"/>
      <c r="I34" s="2"/>
    </row>
    <row r="35" spans="1:9" ht="18" x14ac:dyDescent="0.15">
      <c r="A35" s="8" t="s">
        <v>45</v>
      </c>
      <c r="B35" s="8"/>
      <c r="C35" s="8" t="s">
        <v>28</v>
      </c>
      <c r="D35" s="8" t="s">
        <v>51</v>
      </c>
      <c r="E35" s="8"/>
      <c r="F35" s="8"/>
      <c r="G35" s="8"/>
      <c r="H35" s="14"/>
      <c r="I35" s="2"/>
    </row>
    <row r="36" spans="1:9" ht="16" x14ac:dyDescent="0.15">
      <c r="A36" s="8" t="s">
        <v>59</v>
      </c>
      <c r="B36" s="8"/>
      <c r="C36" s="8" t="s">
        <v>28</v>
      </c>
      <c r="D36" s="8" t="s">
        <v>3</v>
      </c>
      <c r="E36" s="8"/>
      <c r="F36" s="8"/>
      <c r="G36" s="8"/>
      <c r="H36" s="14"/>
      <c r="I36" s="2"/>
    </row>
    <row r="37" spans="1:9" ht="16" x14ac:dyDescent="0.15">
      <c r="A37" s="8" t="s">
        <v>60</v>
      </c>
      <c r="B37" s="8"/>
      <c r="C37" s="8" t="s">
        <v>28</v>
      </c>
      <c r="D37" s="8" t="s">
        <v>61</v>
      </c>
      <c r="E37" s="8"/>
      <c r="F37" s="8"/>
      <c r="G37" s="8"/>
      <c r="H37" s="14"/>
      <c r="I37" s="2"/>
    </row>
  </sheetData>
  <mergeCells count="1">
    <mergeCell ref="A29:I29"/>
  </mergeCells>
  <conditionalFormatting sqref="A4:H4 H14:H15 F15 F19 E20">
    <cfRule type="expression" dxfId="203" priority="39">
      <formula>$C$4="Nee"</formula>
    </cfRule>
  </conditionalFormatting>
  <conditionalFormatting sqref="A5:H5">
    <cfRule type="expression" dxfId="202" priority="40">
      <formula>$C$5="Nee"</formula>
    </cfRule>
  </conditionalFormatting>
  <conditionalFormatting sqref="A6:H6">
    <cfRule type="expression" dxfId="201" priority="38">
      <formula>$C$6="Nee"</formula>
    </cfRule>
  </conditionalFormatting>
  <conditionalFormatting sqref="A7:H7">
    <cfRule type="expression" dxfId="200" priority="31">
      <formula>$C$7="nee"</formula>
    </cfRule>
  </conditionalFormatting>
  <conditionalFormatting sqref="A8:H8">
    <cfRule type="expression" dxfId="199" priority="30">
      <formula>$C$8="nee"</formula>
    </cfRule>
  </conditionalFormatting>
  <conditionalFormatting sqref="A9:H9">
    <cfRule type="expression" dxfId="198" priority="29">
      <formula>$C$9="nee"</formula>
    </cfRule>
  </conditionalFormatting>
  <conditionalFormatting sqref="A10:H10">
    <cfRule type="expression" dxfId="197" priority="28">
      <formula>$C$10="nee"</formula>
    </cfRule>
  </conditionalFormatting>
  <conditionalFormatting sqref="A12:H12">
    <cfRule type="expression" dxfId="196" priority="27">
      <formula>$C$12="nee"</formula>
    </cfRule>
  </conditionalFormatting>
  <conditionalFormatting sqref="A14:H14">
    <cfRule type="expression" dxfId="195" priority="26">
      <formula>$C$14="nee"</formula>
    </cfRule>
  </conditionalFormatting>
  <conditionalFormatting sqref="A15:H15">
    <cfRule type="expression" dxfId="194" priority="24">
      <formula>$C$15="nee"</formula>
    </cfRule>
  </conditionalFormatting>
  <conditionalFormatting sqref="A16:H16">
    <cfRule type="expression" dxfId="193" priority="25">
      <formula>$C$16="nee"</formula>
    </cfRule>
  </conditionalFormatting>
  <conditionalFormatting sqref="A17:H17">
    <cfRule type="expression" dxfId="192" priority="23">
      <formula>$C$17="nee"</formula>
    </cfRule>
  </conditionalFormatting>
  <conditionalFormatting sqref="A19:H19">
    <cfRule type="expression" dxfId="191" priority="22">
      <formula>$C$19="nee"</formula>
    </cfRule>
  </conditionalFormatting>
  <conditionalFormatting sqref="A20:H20">
    <cfRule type="expression" dxfId="190" priority="21">
      <formula>$C$20="nee"</formula>
    </cfRule>
  </conditionalFormatting>
  <conditionalFormatting sqref="A21:H21">
    <cfRule type="expression" dxfId="189" priority="20">
      <formula>$C$21="nee"</formula>
    </cfRule>
  </conditionalFormatting>
  <conditionalFormatting sqref="A22:H22 F24">
    <cfRule type="expression" dxfId="188" priority="19">
      <formula>$C$22="nee"</formula>
    </cfRule>
  </conditionalFormatting>
  <conditionalFormatting sqref="A23:H23">
    <cfRule type="expression" dxfId="187" priority="18">
      <formula>$C$23="nee"</formula>
    </cfRule>
  </conditionalFormatting>
  <conditionalFormatting sqref="A24:H24">
    <cfRule type="expression" dxfId="186" priority="17">
      <formula>$C$24="nee"</formula>
    </cfRule>
  </conditionalFormatting>
  <conditionalFormatting sqref="A25:H25">
    <cfRule type="expression" dxfId="185" priority="16">
      <formula>$C$25="nee"</formula>
    </cfRule>
  </conditionalFormatting>
  <conditionalFormatting sqref="A26:H26">
    <cfRule type="expression" dxfId="184" priority="15">
      <formula>$C$26="nee"</formula>
    </cfRule>
  </conditionalFormatting>
  <conditionalFormatting sqref="A28:H28">
    <cfRule type="expression" dxfId="183" priority="14">
      <formula>$C$28="nee"</formula>
    </cfRule>
  </conditionalFormatting>
  <conditionalFormatting sqref="E4 F15 F19 E20">
    <cfRule type="expression" dxfId="182" priority="12">
      <formula>#REF!="Nee"</formula>
    </cfRule>
  </conditionalFormatting>
  <conditionalFormatting sqref="E19:G19">
    <cfRule type="expression" dxfId="181" priority="1">
      <formula>$C$15="nee"</formula>
    </cfRule>
  </conditionalFormatting>
  <dataValidations count="1">
    <dataValidation type="list" allowBlank="1" showInputMessage="1" showErrorMessage="1" sqref="C28 C12 C4:C10 C19:C26 C14:C17" xr:uid="{00000000-0002-0000-0100-000000000000}">
      <formula1>Aanwezig</formula1>
    </dataValidation>
  </dataValidations>
  <hyperlinks>
    <hyperlink ref="A26" location="'Mobiele werktuigen en overige'!A1" display="Butaan " xr:uid="{00000000-0004-0000-0100-000000000000}"/>
    <hyperlink ref="A25" location="'Mobiele werktuigen en overige'!A1" display="LPG voor heftruck" xr:uid="{00000000-0004-0000-0100-000001000000}"/>
    <hyperlink ref="A24" location="'Mobiele werktuigen en overige'!A1" display="Lasgassen " xr:uid="{00000000-0004-0000-0100-000002000000}"/>
    <hyperlink ref="A23" location="'Mobiele werktuigen en overige'!A1" display="Propaan voor verwarming keten" xr:uid="{00000000-0004-0000-0100-000003000000}"/>
    <hyperlink ref="A22" location="'Mobiele werktuigen'!A1" display="Materieel (mobiele werktuigen): Aspen" xr:uid="{00000000-0004-0000-0100-000004000000}"/>
    <hyperlink ref="A21" location="'Mobiele werktuigen'!A1" display="Materieel (mobiele werktuigen): benzine" xr:uid="{00000000-0004-0000-0100-000005000000}"/>
    <hyperlink ref="A20" location="'Mobiele werktuigen'!A1" display="Materieel (mobiele werktuigen): diesel" xr:uid="{00000000-0004-0000-0100-000006000000}"/>
    <hyperlink ref="A19" location="Aardgas!A1" display="Aardgas voor verwarming " xr:uid="{00000000-0004-0000-0100-000007000000}"/>
    <hyperlink ref="A12" location="Wagenpark!A1" display="Wagenpark: diesel" xr:uid="{00000000-0004-0000-0100-000008000000}"/>
    <hyperlink ref="A9" location="'Zakelijke vliegreizen'!A1" display="Zakelijke vliegreizen" xr:uid="{00000000-0004-0000-0100-000009000000}"/>
    <hyperlink ref="A7" location="Wagenpark!A1" display="Wagenpark: hybride" xr:uid="{00000000-0004-0000-0100-00000A000000}"/>
    <hyperlink ref="A6" location="Wagenpark!A1" display="Wagenpark: -eventueel aanvullen met andere brandstoffen-" xr:uid="{00000000-0004-0000-0100-00000B000000}"/>
    <hyperlink ref="A5" location="Wagenpark!A1" display="Wagenpark: benzine" xr:uid="{00000000-0004-0000-0100-00000C000000}"/>
    <hyperlink ref="A4" location="Wagenpark!A1" display="Wagenpark: diesel" xr:uid="{00000000-0004-0000-0100-00000D000000}"/>
  </hyperlinks>
  <pageMargins left="0.23622047244094491" right="0.23622047244094491" top="0.74803149606299213" bottom="0.74803149606299213" header="0.31496062992125984" footer="0.31496062992125984"/>
  <pageSetup paperSize="9" scale="57" orientation="landscape" r:id="rId1"/>
  <headerFooter>
    <oddHeader>&amp;R&amp;G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4204-E789-8A4E-8269-341FC138FF3A}">
  <dimension ref="A1:I31"/>
  <sheetViews>
    <sheetView workbookViewId="0">
      <selection activeCell="O45" sqref="O45"/>
    </sheetView>
  </sheetViews>
  <sheetFormatPr baseColWidth="10" defaultColWidth="8.83203125" defaultRowHeight="14" x14ac:dyDescent="0.2"/>
  <cols>
    <col min="1" max="1" width="39" style="15" bestFit="1"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39.1640625" style="15" customWidth="1"/>
    <col min="9" max="16384" width="8.83203125" style="15"/>
  </cols>
  <sheetData>
    <row r="1" spans="1:9" ht="21" x14ac:dyDescent="0.2">
      <c r="A1" s="323" t="s">
        <v>323</v>
      </c>
      <c r="B1" s="323"/>
      <c r="C1" s="323"/>
      <c r="D1" s="323"/>
      <c r="E1" s="323"/>
      <c r="F1" s="323"/>
      <c r="G1" s="323"/>
      <c r="H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315</v>
      </c>
      <c r="C5" s="322"/>
      <c r="D5" s="322"/>
      <c r="E5" s="322"/>
    </row>
    <row r="6" spans="1:9" ht="19" x14ac:dyDescent="0.2">
      <c r="A6" s="7" t="s">
        <v>16</v>
      </c>
      <c r="B6" s="322" t="s">
        <v>308</v>
      </c>
      <c r="C6" s="322"/>
      <c r="D6" s="322"/>
      <c r="E6" s="322"/>
    </row>
    <row r="7" spans="1:9" ht="19" x14ac:dyDescent="0.2">
      <c r="A7" s="7" t="s">
        <v>70</v>
      </c>
      <c r="B7" s="322" t="s">
        <v>100</v>
      </c>
      <c r="C7" s="322"/>
      <c r="D7" s="322"/>
      <c r="E7" s="322"/>
    </row>
    <row r="8" spans="1:9" ht="20" thickBot="1" x14ac:dyDescent="0.25">
      <c r="A8" s="7"/>
    </row>
    <row r="9" spans="1:9" s="21" customFormat="1" ht="18" thickBot="1" x14ac:dyDescent="0.25">
      <c r="A9" s="226" t="s">
        <v>21</v>
      </c>
      <c r="B9" s="227" t="s">
        <v>48</v>
      </c>
      <c r="C9" s="228" t="s">
        <v>78</v>
      </c>
      <c r="D9" s="229"/>
      <c r="E9" s="228" t="s">
        <v>79</v>
      </c>
      <c r="F9" s="229" t="s">
        <v>80</v>
      </c>
      <c r="G9" s="227" t="s">
        <v>91</v>
      </c>
      <c r="H9" s="230" t="s">
        <v>81</v>
      </c>
    </row>
    <row r="10" spans="1:9" s="21" customFormat="1" ht="17" x14ac:dyDescent="0.2">
      <c r="A10" s="224" t="s">
        <v>95</v>
      </c>
      <c r="B10" s="200"/>
      <c r="C10" s="203"/>
      <c r="D10" s="204"/>
      <c r="E10" s="203"/>
      <c r="F10" s="204"/>
      <c r="G10" s="200"/>
      <c r="H10" s="225"/>
    </row>
    <row r="11" spans="1:9" ht="15" x14ac:dyDescent="0.2">
      <c r="A11" s="245" t="s">
        <v>84</v>
      </c>
      <c r="B11" s="236"/>
      <c r="C11" s="237"/>
      <c r="D11" s="238"/>
      <c r="E11" s="237"/>
      <c r="F11" s="238"/>
      <c r="G11" s="236"/>
      <c r="H11" s="246"/>
    </row>
    <row r="12" spans="1:9" ht="15" x14ac:dyDescent="0.2">
      <c r="A12" s="220" t="s">
        <v>163</v>
      </c>
      <c r="B12" s="202">
        <v>1</v>
      </c>
      <c r="C12" s="256">
        <f>12131/359*365</f>
        <v>12333.746518105849</v>
      </c>
      <c r="D12" s="208" t="s">
        <v>87</v>
      </c>
      <c r="E12" s="211">
        <v>1.8839999999999999</v>
      </c>
      <c r="F12" s="208" t="s">
        <v>86</v>
      </c>
      <c r="G12" s="213">
        <f>C12*E12/1000</f>
        <v>23.236778440111419</v>
      </c>
      <c r="H12" s="221" t="s">
        <v>317</v>
      </c>
      <c r="I12" s="259">
        <f>G12/$G$22</f>
        <v>5.0231159170008623E-2</v>
      </c>
    </row>
    <row r="13" spans="1:9" ht="15" x14ac:dyDescent="0.2">
      <c r="A13" s="218" t="s">
        <v>159</v>
      </c>
      <c r="B13" s="201"/>
      <c r="C13" s="260"/>
      <c r="D13" s="206"/>
      <c r="E13" s="205"/>
      <c r="F13" s="206"/>
      <c r="G13" s="201"/>
      <c r="H13" s="219"/>
      <c r="I13" s="259"/>
    </row>
    <row r="14" spans="1:9" ht="16" x14ac:dyDescent="0.2">
      <c r="A14" s="220" t="s">
        <v>160</v>
      </c>
      <c r="B14" s="202">
        <v>1</v>
      </c>
      <c r="C14" s="256">
        <v>126941.93</v>
      </c>
      <c r="D14" s="210" t="s">
        <v>24</v>
      </c>
      <c r="E14" s="212">
        <v>3.262</v>
      </c>
      <c r="F14" s="208" t="s">
        <v>88</v>
      </c>
      <c r="G14" s="213">
        <f>C14*E14/1000</f>
        <v>414.08457565999998</v>
      </c>
      <c r="H14" s="221" t="s">
        <v>318</v>
      </c>
      <c r="I14" s="259">
        <f t="shared" ref="I14:I21" si="0">G14/$G$22</f>
        <v>0.89513046240170646</v>
      </c>
    </row>
    <row r="15" spans="1:9" ht="15" x14ac:dyDescent="0.2">
      <c r="A15" s="218" t="s">
        <v>98</v>
      </c>
      <c r="B15" s="201"/>
      <c r="C15" s="260"/>
      <c r="D15" s="206"/>
      <c r="E15" s="205"/>
      <c r="F15" s="206"/>
      <c r="G15" s="201"/>
      <c r="H15" s="219"/>
      <c r="I15" s="259"/>
    </row>
    <row r="16" spans="1:9" ht="15" x14ac:dyDescent="0.2">
      <c r="A16" s="220" t="s">
        <v>161</v>
      </c>
      <c r="B16" s="202">
        <v>1</v>
      </c>
      <c r="C16" s="209">
        <f>28*13</f>
        <v>364</v>
      </c>
      <c r="D16" s="208" t="s">
        <v>25</v>
      </c>
      <c r="E16" s="212">
        <v>1.798</v>
      </c>
      <c r="F16" s="208" t="s">
        <v>88</v>
      </c>
      <c r="G16" s="213">
        <f>C16*E16/1000</f>
        <v>0.65447199999999994</v>
      </c>
      <c r="H16" s="221" t="s">
        <v>321</v>
      </c>
      <c r="I16" s="259">
        <f t="shared" si="0"/>
        <v>1.4147781840345441E-3</v>
      </c>
    </row>
    <row r="17" spans="1:9" ht="15" x14ac:dyDescent="0.2">
      <c r="A17" s="220" t="s">
        <v>168</v>
      </c>
      <c r="B17" s="202">
        <v>1</v>
      </c>
      <c r="C17" s="209">
        <f>(98)*10.5*2</f>
        <v>2058</v>
      </c>
      <c r="D17" s="208" t="s">
        <v>167</v>
      </c>
      <c r="E17" s="212">
        <v>1.7250000000000001</v>
      </c>
      <c r="F17" s="208" t="s">
        <v>88</v>
      </c>
      <c r="G17" s="213">
        <f>C17*E17/1000</f>
        <v>3.5500500000000001</v>
      </c>
      <c r="H17" s="221" t="s">
        <v>320</v>
      </c>
      <c r="I17" s="259">
        <f t="shared" si="0"/>
        <v>7.6741759651013852E-3</v>
      </c>
    </row>
    <row r="18" spans="1:9" ht="15" x14ac:dyDescent="0.2">
      <c r="A18" s="222" t="s">
        <v>89</v>
      </c>
      <c r="B18" s="199">
        <v>1</v>
      </c>
      <c r="C18" s="214">
        <v>2470.35</v>
      </c>
      <c r="D18" s="198" t="s">
        <v>167</v>
      </c>
      <c r="E18" s="215">
        <v>2.7839999999999998</v>
      </c>
      <c r="F18" s="198" t="s">
        <v>88</v>
      </c>
      <c r="G18" s="216">
        <f>C18*E18/1000</f>
        <v>6.8774543999999995</v>
      </c>
      <c r="H18" s="223" t="s">
        <v>319</v>
      </c>
      <c r="I18" s="259">
        <f t="shared" si="0"/>
        <v>1.4867056874568178E-2</v>
      </c>
    </row>
    <row r="19" spans="1:9" ht="17" x14ac:dyDescent="0.2">
      <c r="A19" s="231" t="s">
        <v>96</v>
      </c>
      <c r="B19" s="232"/>
      <c r="C19" s="233"/>
      <c r="D19" s="234"/>
      <c r="E19" s="233"/>
      <c r="F19" s="234"/>
      <c r="G19" s="232"/>
      <c r="H19" s="235"/>
      <c r="I19" s="259"/>
    </row>
    <row r="20" spans="1:9" ht="15" x14ac:dyDescent="0.2">
      <c r="A20" s="245" t="s">
        <v>83</v>
      </c>
      <c r="B20" s="236"/>
      <c r="C20" s="237"/>
      <c r="D20" s="238"/>
      <c r="E20" s="237"/>
      <c r="F20" s="238"/>
      <c r="G20" s="236"/>
      <c r="H20" s="246"/>
      <c r="I20" s="259"/>
    </row>
    <row r="21" spans="1:9" ht="15" x14ac:dyDescent="0.2">
      <c r="A21" s="222" t="s">
        <v>4</v>
      </c>
      <c r="B21" s="199">
        <v>2</v>
      </c>
      <c r="C21" s="244">
        <f>9943+15585</f>
        <v>25528</v>
      </c>
      <c r="D21" s="198" t="s">
        <v>2</v>
      </c>
      <c r="E21" s="217">
        <v>0.55600000000000005</v>
      </c>
      <c r="F21" s="198" t="s">
        <v>85</v>
      </c>
      <c r="G21" s="216">
        <f>C21*E21/1000</f>
        <v>14.193568000000001</v>
      </c>
      <c r="H21" s="223" t="s">
        <v>316</v>
      </c>
      <c r="I21" s="259">
        <f t="shared" si="0"/>
        <v>3.0682367404580819E-2</v>
      </c>
    </row>
    <row r="22" spans="1:9" ht="22" thickBot="1" x14ac:dyDescent="0.25">
      <c r="A22" s="239" t="s">
        <v>13</v>
      </c>
      <c r="B22" s="240"/>
      <c r="C22" s="241"/>
      <c r="D22" s="242"/>
      <c r="E22" s="241"/>
      <c r="F22" s="242"/>
      <c r="G22" s="253">
        <f>SUM(G11:G21)</f>
        <v>462.59689850011142</v>
      </c>
      <c r="H22" s="243"/>
    </row>
    <row r="24" spans="1:9" ht="16" x14ac:dyDescent="0.2">
      <c r="D24" s="41"/>
      <c r="E24" s="41"/>
      <c r="F24" s="44" t="s">
        <v>97</v>
      </c>
      <c r="G24" s="45"/>
    </row>
    <row r="25" spans="1:9" ht="16" x14ac:dyDescent="0.2">
      <c r="D25" s="41"/>
      <c r="E25" s="41"/>
      <c r="F25" s="42" t="s">
        <v>95</v>
      </c>
      <c r="G25" s="43">
        <f>SUM(G11:G18)</f>
        <v>448.40333050011139</v>
      </c>
      <c r="H25" s="249"/>
      <c r="I25" s="250"/>
    </row>
    <row r="26" spans="1:9" ht="16" x14ac:dyDescent="0.2">
      <c r="D26" s="41"/>
      <c r="E26" s="41"/>
      <c r="F26" s="46" t="s">
        <v>96</v>
      </c>
      <c r="G26" s="47">
        <f>SUM(G19:G21)</f>
        <v>14.193568000000001</v>
      </c>
      <c r="H26" s="251"/>
      <c r="I26" s="250"/>
    </row>
    <row r="27" spans="1:9" ht="16" x14ac:dyDescent="0.2">
      <c r="D27" s="321" t="s">
        <v>99</v>
      </c>
      <c r="E27" s="321"/>
      <c r="F27" s="321"/>
      <c r="G27" s="321"/>
      <c r="H27" s="252"/>
    </row>
    <row r="28" spans="1:9" ht="16" x14ac:dyDescent="0.2">
      <c r="D28" s="321" t="s">
        <v>82</v>
      </c>
      <c r="E28" s="321"/>
      <c r="F28" s="321"/>
      <c r="G28" s="43">
        <f>G14</f>
        <v>414.08457565999998</v>
      </c>
      <c r="H28" s="247">
        <f>G28/$G$22</f>
        <v>0.89513046240170646</v>
      </c>
    </row>
    <row r="29" spans="1:9" ht="16" x14ac:dyDescent="0.2">
      <c r="D29" s="321" t="s">
        <v>98</v>
      </c>
      <c r="E29" s="321"/>
      <c r="F29" s="321"/>
      <c r="G29" s="43">
        <f>G16+G17+G18</f>
        <v>11.081976399999999</v>
      </c>
      <c r="H29" s="247">
        <f t="shared" ref="H29:H31" si="1">G29/$G$22</f>
        <v>2.3956011023704107E-2</v>
      </c>
    </row>
    <row r="30" spans="1:9" ht="16" x14ac:dyDescent="0.2">
      <c r="D30" s="321" t="s">
        <v>83</v>
      </c>
      <c r="E30" s="321"/>
      <c r="F30" s="321"/>
      <c r="G30" s="43">
        <f>G21</f>
        <v>14.193568000000001</v>
      </c>
      <c r="H30" s="247">
        <f t="shared" si="1"/>
        <v>3.0682367404580819E-2</v>
      </c>
    </row>
    <row r="31" spans="1:9" ht="16" x14ac:dyDescent="0.2">
      <c r="D31" s="321" t="s">
        <v>84</v>
      </c>
      <c r="E31" s="321"/>
      <c r="F31" s="321"/>
      <c r="G31" s="43">
        <f>G12</f>
        <v>23.236778440111419</v>
      </c>
      <c r="H31" s="247">
        <f t="shared" si="1"/>
        <v>5.0231159170008623E-2</v>
      </c>
    </row>
  </sheetData>
  <sheetProtection algorithmName="SHA-512" hashValue="6caI6d2JWjDMNnNvWE+BS1uJU4dQIBtPNGRFCYXTrriF9CXIhxSpNNiEC4OFCbRCaZUQpSyLJzvW0LwMQYpFjg==" saltValue="4Q4J0Rahorp7cNjPnHeffA==" spinCount="100000" sheet="1" objects="1" scenarios="1"/>
  <mergeCells count="11">
    <mergeCell ref="D27:G27"/>
    <mergeCell ref="D28:F28"/>
    <mergeCell ref="D29:F29"/>
    <mergeCell ref="D30:F30"/>
    <mergeCell ref="D31:F31"/>
    <mergeCell ref="B7:E7"/>
    <mergeCell ref="A1:H1"/>
    <mergeCell ref="B3:E3"/>
    <mergeCell ref="B4:E4"/>
    <mergeCell ref="B5:E5"/>
    <mergeCell ref="B6:E6"/>
  </mergeCells>
  <conditionalFormatting sqref="A16:A18">
    <cfRule type="expression" dxfId="53" priority="5">
      <formula>#REF!="Nee"</formula>
    </cfRule>
  </conditionalFormatting>
  <conditionalFormatting sqref="A14:B14 D14:G14 G16:G18">
    <cfRule type="expression" dxfId="52" priority="9">
      <formula>#REF!="Nee"</formula>
    </cfRule>
  </conditionalFormatting>
  <conditionalFormatting sqref="A12:G12">
    <cfRule type="expression" dxfId="51" priority="3">
      <formula>#REF!="nee"</formula>
    </cfRule>
  </conditionalFormatting>
  <conditionalFormatting sqref="A21:G21">
    <cfRule type="expression" dxfId="50" priority="7">
      <formula>#REF!="nee"</formula>
    </cfRule>
  </conditionalFormatting>
  <conditionalFormatting sqref="C14">
    <cfRule type="expression" dxfId="49" priority="1">
      <formula>#REF!="nee"</formula>
    </cfRule>
  </conditionalFormatting>
  <conditionalFormatting sqref="E14:F14 B16:G18">
    <cfRule type="expression" dxfId="48" priority="8">
      <formula>#REF!="nee"</formula>
    </cfRule>
  </conditionalFormatting>
  <conditionalFormatting sqref="G12">
    <cfRule type="expression" dxfId="47" priority="2">
      <formula>#REF!="Nee"</formula>
    </cfRule>
  </conditionalFormatting>
  <conditionalFormatting sqref="G21">
    <cfRule type="expression" dxfId="46" priority="6">
      <formula>#REF!="Nee"</formula>
    </cfRule>
  </conditionalFormatting>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88DE-F077-8E48-AAF2-914EDA7700D8}">
  <dimension ref="A1:I36"/>
  <sheetViews>
    <sheetView workbookViewId="0">
      <selection activeCell="O45" sqref="O45"/>
    </sheetView>
  </sheetViews>
  <sheetFormatPr baseColWidth="10" defaultColWidth="8.83203125" defaultRowHeight="14" x14ac:dyDescent="0.2"/>
  <cols>
    <col min="1" max="1" width="39" style="15" bestFit="1" customWidth="1"/>
    <col min="2" max="2" width="11.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39.1640625" style="15" customWidth="1"/>
    <col min="9" max="16384" width="8.83203125" style="15"/>
  </cols>
  <sheetData>
    <row r="1" spans="1:9" ht="21" x14ac:dyDescent="0.2">
      <c r="A1" s="323" t="s">
        <v>324</v>
      </c>
      <c r="B1" s="323"/>
      <c r="C1" s="323"/>
      <c r="D1" s="323"/>
      <c r="E1" s="323"/>
      <c r="F1" s="323"/>
      <c r="G1" s="323"/>
      <c r="H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325</v>
      </c>
      <c r="C5" s="322"/>
      <c r="D5" s="322"/>
      <c r="E5" s="322"/>
    </row>
    <row r="6" spans="1:9" ht="19" x14ac:dyDescent="0.2">
      <c r="A6" s="7" t="s">
        <v>16</v>
      </c>
      <c r="B6" s="322" t="s">
        <v>308</v>
      </c>
      <c r="C6" s="322"/>
      <c r="D6" s="322"/>
      <c r="E6" s="322"/>
    </row>
    <row r="7" spans="1:9" ht="19" x14ac:dyDescent="0.2">
      <c r="A7" s="7" t="s">
        <v>70</v>
      </c>
      <c r="B7" s="322" t="s">
        <v>100</v>
      </c>
      <c r="C7" s="322"/>
      <c r="D7" s="322"/>
      <c r="E7" s="322"/>
    </row>
    <row r="8" spans="1:9" ht="19" x14ac:dyDescent="0.2">
      <c r="A8" s="7" t="s">
        <v>12</v>
      </c>
      <c r="B8" s="273">
        <v>45259</v>
      </c>
      <c r="C8" s="265"/>
      <c r="D8" s="265"/>
      <c r="E8" s="265"/>
    </row>
    <row r="9" spans="1:9" ht="20" thickBot="1" x14ac:dyDescent="0.25">
      <c r="A9" s="7"/>
    </row>
    <row r="10" spans="1:9" s="21" customFormat="1" ht="18" thickBot="1" x14ac:dyDescent="0.25">
      <c r="A10" s="226" t="s">
        <v>21</v>
      </c>
      <c r="B10" s="227" t="s">
        <v>48</v>
      </c>
      <c r="C10" s="228" t="s">
        <v>78</v>
      </c>
      <c r="D10" s="229"/>
      <c r="E10" s="228" t="s">
        <v>79</v>
      </c>
      <c r="F10" s="229" t="s">
        <v>80</v>
      </c>
      <c r="G10" s="227" t="s">
        <v>91</v>
      </c>
      <c r="H10" s="230" t="s">
        <v>81</v>
      </c>
    </row>
    <row r="11" spans="1:9" s="21" customFormat="1" ht="17" x14ac:dyDescent="0.2">
      <c r="A11" s="224" t="s">
        <v>95</v>
      </c>
      <c r="B11" s="200"/>
      <c r="C11" s="203"/>
      <c r="D11" s="204"/>
      <c r="E11" s="203"/>
      <c r="F11" s="204"/>
      <c r="G11" s="200"/>
      <c r="H11" s="225"/>
    </row>
    <row r="12" spans="1:9" ht="15" x14ac:dyDescent="0.2">
      <c r="A12" s="245" t="s">
        <v>84</v>
      </c>
      <c r="B12" s="236"/>
      <c r="C12" s="237"/>
      <c r="D12" s="238"/>
      <c r="E12" s="237"/>
      <c r="F12" s="238"/>
      <c r="G12" s="236"/>
      <c r="H12" s="246"/>
    </row>
    <row r="13" spans="1:9" ht="15" x14ac:dyDescent="0.2">
      <c r="A13" s="220" t="s">
        <v>163</v>
      </c>
      <c r="B13" s="202">
        <v>1</v>
      </c>
      <c r="C13" s="256">
        <f>3657.76+2720.24</f>
        <v>6378</v>
      </c>
      <c r="D13" s="208" t="s">
        <v>87</v>
      </c>
      <c r="E13" s="211">
        <v>2.085</v>
      </c>
      <c r="F13" s="208" t="s">
        <v>86</v>
      </c>
      <c r="G13" s="213">
        <f>C13*E13/1000</f>
        <v>13.298129999999999</v>
      </c>
      <c r="H13" s="221" t="s">
        <v>326</v>
      </c>
      <c r="I13" s="259">
        <f>G13/$G$26</f>
        <v>3.3130165621031674E-2</v>
      </c>
    </row>
    <row r="14" spans="1:9" ht="15" x14ac:dyDescent="0.2">
      <c r="A14" s="218" t="s">
        <v>159</v>
      </c>
      <c r="B14" s="201"/>
      <c r="C14" s="260"/>
      <c r="D14" s="206"/>
      <c r="E14" s="205"/>
      <c r="F14" s="206"/>
      <c r="G14" s="201"/>
      <c r="H14" s="219"/>
      <c r="I14" s="259"/>
    </row>
    <row r="15" spans="1:9" ht="16" x14ac:dyDescent="0.2">
      <c r="A15" s="220" t="s">
        <v>160</v>
      </c>
      <c r="B15" s="202">
        <v>1</v>
      </c>
      <c r="C15" s="256">
        <v>111442</v>
      </c>
      <c r="D15" s="210" t="s">
        <v>24</v>
      </c>
      <c r="E15" s="212">
        <v>3.262</v>
      </c>
      <c r="F15" s="208" t="s">
        <v>88</v>
      </c>
      <c r="G15" s="213">
        <f>C15*E15/1000</f>
        <v>363.52380399999998</v>
      </c>
      <c r="H15" s="221" t="s">
        <v>331</v>
      </c>
      <c r="I15" s="259">
        <f t="shared" ref="I15:I22" si="0">G15/$G$26</f>
        <v>0.90566146019834803</v>
      </c>
    </row>
    <row r="16" spans="1:9" ht="15" x14ac:dyDescent="0.2">
      <c r="A16" s="218" t="s">
        <v>98</v>
      </c>
      <c r="B16" s="201"/>
      <c r="C16" s="260"/>
      <c r="D16" s="206"/>
      <c r="E16" s="205"/>
      <c r="F16" s="206"/>
      <c r="G16" s="201"/>
      <c r="H16" s="219"/>
      <c r="I16" s="259"/>
    </row>
    <row r="17" spans="1:9" ht="15" x14ac:dyDescent="0.2">
      <c r="A17" s="220" t="s">
        <v>161</v>
      </c>
      <c r="B17" s="202">
        <v>1</v>
      </c>
      <c r="C17" s="261">
        <f>23*13</f>
        <v>299</v>
      </c>
      <c r="D17" s="208" t="s">
        <v>25</v>
      </c>
      <c r="E17" s="212">
        <v>1.798</v>
      </c>
      <c r="F17" s="208" t="s">
        <v>88</v>
      </c>
      <c r="G17" s="213">
        <f>C17*E17/1000</f>
        <v>0.53760200000000002</v>
      </c>
      <c r="H17" s="221" t="s">
        <v>330</v>
      </c>
      <c r="I17" s="259">
        <f t="shared" si="0"/>
        <v>1.3393494647892504E-3</v>
      </c>
    </row>
    <row r="18" spans="1:9" ht="15" x14ac:dyDescent="0.2">
      <c r="A18" s="220" t="s">
        <v>168</v>
      </c>
      <c r="B18" s="202">
        <v>1</v>
      </c>
      <c r="C18" s="261">
        <f>67*10.5*2</f>
        <v>1407</v>
      </c>
      <c r="D18" s="208" t="s">
        <v>167</v>
      </c>
      <c r="E18" s="212">
        <v>1.7250000000000001</v>
      </c>
      <c r="F18" s="208" t="s">
        <v>88</v>
      </c>
      <c r="G18" s="213">
        <f>C18*E18/1000</f>
        <v>2.4270750000000003</v>
      </c>
      <c r="H18" s="221" t="s">
        <v>329</v>
      </c>
      <c r="I18" s="259">
        <f>G18/$G$26</f>
        <v>6.0466694734271267E-3</v>
      </c>
    </row>
    <row r="19" spans="1:9" ht="15" x14ac:dyDescent="0.2">
      <c r="A19" s="222" t="s">
        <v>89</v>
      </c>
      <c r="B19" s="199">
        <v>1</v>
      </c>
      <c r="C19" s="262">
        <v>2214</v>
      </c>
      <c r="D19" s="198" t="s">
        <v>167</v>
      </c>
      <c r="E19" s="215">
        <v>2.7839999999999998</v>
      </c>
      <c r="F19" s="198" t="s">
        <v>88</v>
      </c>
      <c r="G19" s="216">
        <f>C19*E19/1000</f>
        <v>6.1637759999999995</v>
      </c>
      <c r="H19" s="223" t="s">
        <v>328</v>
      </c>
      <c r="I19" s="259">
        <f t="shared" si="0"/>
        <v>1.5356062824693407E-2</v>
      </c>
    </row>
    <row r="20" spans="1:9" ht="17" x14ac:dyDescent="0.2">
      <c r="A20" s="231" t="s">
        <v>96</v>
      </c>
      <c r="B20" s="232"/>
      <c r="C20" s="233"/>
      <c r="D20" s="234"/>
      <c r="E20" s="233"/>
      <c r="F20" s="234"/>
      <c r="G20" s="232"/>
      <c r="H20" s="235"/>
      <c r="I20" s="259"/>
    </row>
    <row r="21" spans="1:9" ht="15" x14ac:dyDescent="0.2">
      <c r="A21" s="245" t="s">
        <v>83</v>
      </c>
      <c r="B21" s="236"/>
      <c r="C21" s="237"/>
      <c r="D21" s="238"/>
      <c r="E21" s="237"/>
      <c r="F21" s="238"/>
      <c r="G21" s="236"/>
      <c r="H21" s="246"/>
      <c r="I21" s="259"/>
    </row>
    <row r="22" spans="1:9" ht="15" x14ac:dyDescent="0.2">
      <c r="A22" s="222" t="s">
        <v>31</v>
      </c>
      <c r="B22" s="199">
        <v>2</v>
      </c>
      <c r="C22" s="244">
        <v>26212</v>
      </c>
      <c r="D22" s="198" t="s">
        <v>2</v>
      </c>
      <c r="E22" s="217">
        <v>0</v>
      </c>
      <c r="F22" s="198" t="s">
        <v>85</v>
      </c>
      <c r="G22" s="216">
        <f>C22*E22/1000</f>
        <v>0</v>
      </c>
      <c r="H22" s="223" t="s">
        <v>327</v>
      </c>
      <c r="I22" s="259">
        <f t="shared" si="0"/>
        <v>0</v>
      </c>
    </row>
    <row r="23" spans="1:9" ht="15" x14ac:dyDescent="0.2">
      <c r="A23" s="264" t="s">
        <v>333</v>
      </c>
      <c r="B23" s="202"/>
      <c r="C23" s="263"/>
      <c r="D23" s="208"/>
      <c r="E23" s="211"/>
      <c r="F23" s="208"/>
      <c r="G23" s="213"/>
      <c r="H23" s="221"/>
      <c r="I23" s="259"/>
    </row>
    <row r="24" spans="1:9" ht="15" x14ac:dyDescent="0.2">
      <c r="A24" s="220" t="s">
        <v>332</v>
      </c>
      <c r="B24" s="202">
        <v>3</v>
      </c>
      <c r="C24" s="263">
        <v>80000</v>
      </c>
      <c r="D24" s="208" t="s">
        <v>3</v>
      </c>
      <c r="E24" s="211">
        <v>0.193</v>
      </c>
      <c r="F24" s="208" t="s">
        <v>334</v>
      </c>
      <c r="G24" s="213">
        <f>C24*E24/1000</f>
        <v>15.44</v>
      </c>
      <c r="H24" s="221" t="s">
        <v>336</v>
      </c>
      <c r="I24" s="259">
        <f>G24/$G$26</f>
        <v>3.8466292417710546E-2</v>
      </c>
    </row>
    <row r="25" spans="1:9" ht="15" x14ac:dyDescent="0.2">
      <c r="A25" s="220"/>
      <c r="B25" s="202"/>
      <c r="C25" s="263"/>
      <c r="D25" s="208"/>
      <c r="E25" s="211"/>
      <c r="F25" s="208"/>
      <c r="G25" s="213"/>
      <c r="H25" s="221"/>
      <c r="I25" s="259"/>
    </row>
    <row r="26" spans="1:9" ht="22" thickBot="1" x14ac:dyDescent="0.25">
      <c r="A26" s="239" t="s">
        <v>13</v>
      </c>
      <c r="B26" s="240"/>
      <c r="C26" s="241"/>
      <c r="D26" s="242"/>
      <c r="E26" s="241"/>
      <c r="F26" s="242"/>
      <c r="G26" s="253">
        <f>SUM(G12:G24)</f>
        <v>401.39038699999998</v>
      </c>
      <c r="H26" s="243"/>
    </row>
    <row r="28" spans="1:9" ht="16" x14ac:dyDescent="0.2">
      <c r="D28" s="41"/>
      <c r="E28" s="41"/>
      <c r="F28" s="44" t="s">
        <v>97</v>
      </c>
      <c r="G28" s="45"/>
    </row>
    <row r="29" spans="1:9" ht="16" x14ac:dyDescent="0.2">
      <c r="D29" s="41"/>
      <c r="E29" s="41"/>
      <c r="F29" s="42" t="s">
        <v>95</v>
      </c>
      <c r="G29" s="43">
        <f>SUM(G12:G19)</f>
        <v>385.95038699999998</v>
      </c>
      <c r="H29" s="249"/>
      <c r="I29" s="250"/>
    </row>
    <row r="30" spans="1:9" ht="16" x14ac:dyDescent="0.2">
      <c r="D30" s="41"/>
      <c r="E30" s="41"/>
      <c r="F30" s="46" t="s">
        <v>96</v>
      </c>
      <c r="G30" s="47">
        <f>SUM(G20:G22)</f>
        <v>0</v>
      </c>
      <c r="H30" s="251"/>
      <c r="I30" s="250"/>
    </row>
    <row r="31" spans="1:9" ht="16" x14ac:dyDescent="0.2">
      <c r="D31" s="41"/>
      <c r="E31" s="41"/>
      <c r="F31" s="46" t="s">
        <v>335</v>
      </c>
      <c r="G31" s="47">
        <f>G24</f>
        <v>15.44</v>
      </c>
      <c r="H31" s="251"/>
      <c r="I31" s="250"/>
    </row>
    <row r="32" spans="1:9" ht="16" x14ac:dyDescent="0.2">
      <c r="D32" s="321" t="s">
        <v>99</v>
      </c>
      <c r="E32" s="321"/>
      <c r="F32" s="321"/>
      <c r="G32" s="321"/>
      <c r="H32" s="252"/>
    </row>
    <row r="33" spans="4:8" ht="16" x14ac:dyDescent="0.2">
      <c r="D33" s="321" t="s">
        <v>82</v>
      </c>
      <c r="E33" s="321"/>
      <c r="F33" s="321"/>
      <c r="G33" s="43">
        <f>G15</f>
        <v>363.52380399999998</v>
      </c>
      <c r="H33" s="247">
        <f>G33/$G$26</f>
        <v>0.90566146019834803</v>
      </c>
    </row>
    <row r="34" spans="4:8" ht="16" x14ac:dyDescent="0.2">
      <c r="D34" s="321" t="s">
        <v>98</v>
      </c>
      <c r="E34" s="321"/>
      <c r="F34" s="321"/>
      <c r="G34" s="43">
        <f>G17+G18+G19</f>
        <v>9.1284530000000004</v>
      </c>
      <c r="H34" s="247">
        <f>G34/$G$26</f>
        <v>2.2742081762909785E-2</v>
      </c>
    </row>
    <row r="35" spans="4:8" ht="16" x14ac:dyDescent="0.2">
      <c r="D35" s="321" t="s">
        <v>83</v>
      </c>
      <c r="E35" s="321"/>
      <c r="F35" s="321"/>
      <c r="G35" s="43">
        <f>G22</f>
        <v>0</v>
      </c>
      <c r="H35" s="247">
        <f>G35/$G$26</f>
        <v>0</v>
      </c>
    </row>
    <row r="36" spans="4:8" ht="16" x14ac:dyDescent="0.2">
      <c r="D36" s="321" t="s">
        <v>84</v>
      </c>
      <c r="E36" s="321"/>
      <c r="F36" s="321"/>
      <c r="G36" s="43">
        <f>G13</f>
        <v>13.298129999999999</v>
      </c>
      <c r="H36" s="247">
        <f>G36/$G$26</f>
        <v>3.3130165621031674E-2</v>
      </c>
    </row>
  </sheetData>
  <sheetProtection algorithmName="SHA-512" hashValue="OWGVkguBn/HJ50RrRssLhnFp4TvaIIXs3guXTZy3hnO0FlrLBIIvkYd7XO+iUbgJjaqocCCucpaQeNreGcGWyw==" saltValue="c+KA9fehrTjhkO7St0TSjA==" spinCount="100000" sheet="1" objects="1" scenarios="1"/>
  <mergeCells count="11">
    <mergeCell ref="D32:G32"/>
    <mergeCell ref="D33:F33"/>
    <mergeCell ref="D34:F34"/>
    <mergeCell ref="D35:F35"/>
    <mergeCell ref="D36:F36"/>
    <mergeCell ref="B7:E7"/>
    <mergeCell ref="A1:H1"/>
    <mergeCell ref="B3:E3"/>
    <mergeCell ref="B4:E4"/>
    <mergeCell ref="B5:E5"/>
    <mergeCell ref="B6:E6"/>
  </mergeCells>
  <conditionalFormatting sqref="A17:A19">
    <cfRule type="expression" dxfId="45" priority="6">
      <formula>#REF!="Nee"</formula>
    </cfRule>
  </conditionalFormatting>
  <conditionalFormatting sqref="A15:B15 D15:G15 G17:G19">
    <cfRule type="expression" dxfId="44" priority="10">
      <formula>#REF!="Nee"</formula>
    </cfRule>
  </conditionalFormatting>
  <conditionalFormatting sqref="A13:G13">
    <cfRule type="expression" dxfId="43" priority="4">
      <formula>#REF!="nee"</formula>
    </cfRule>
  </conditionalFormatting>
  <conditionalFormatting sqref="A22:G25">
    <cfRule type="expression" dxfId="42" priority="8">
      <formula>#REF!="nee"</formula>
    </cfRule>
  </conditionalFormatting>
  <conditionalFormatting sqref="C15">
    <cfRule type="expression" dxfId="41" priority="2">
      <formula>#REF!="nee"</formula>
    </cfRule>
  </conditionalFormatting>
  <conditionalFormatting sqref="E15:F15 B17:G19">
    <cfRule type="expression" dxfId="40" priority="9">
      <formula>#REF!="nee"</formula>
    </cfRule>
  </conditionalFormatting>
  <conditionalFormatting sqref="G13">
    <cfRule type="expression" dxfId="39" priority="3">
      <formula>#REF!="Nee"</formula>
    </cfRule>
  </conditionalFormatting>
  <conditionalFormatting sqref="G22:G25">
    <cfRule type="expression" dxfId="38" priority="1">
      <formula>#REF!="Nee"</formula>
    </cfRule>
  </conditionalFormatting>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5449-5D41-B54C-917E-8DC3C476967B}">
  <dimension ref="A1:I36"/>
  <sheetViews>
    <sheetView zoomScaleNormal="130" workbookViewId="0">
      <selection activeCell="O45" sqref="O45"/>
    </sheetView>
  </sheetViews>
  <sheetFormatPr baseColWidth="10" defaultColWidth="8.83203125" defaultRowHeight="14" x14ac:dyDescent="0.2"/>
  <cols>
    <col min="1" max="1" width="39" style="15" bestFit="1" customWidth="1"/>
    <col min="2" max="2" width="11.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47.5" style="15" bestFit="1" customWidth="1"/>
    <col min="9" max="16384" width="8.83203125" style="15"/>
  </cols>
  <sheetData>
    <row r="1" spans="1:9" ht="21" x14ac:dyDescent="0.2">
      <c r="A1" s="323" t="s">
        <v>340</v>
      </c>
      <c r="B1" s="323"/>
      <c r="C1" s="323"/>
      <c r="D1" s="323"/>
      <c r="E1" s="323"/>
      <c r="F1" s="323"/>
      <c r="G1" s="323"/>
      <c r="H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339</v>
      </c>
      <c r="C5" s="322"/>
      <c r="D5" s="322"/>
      <c r="E5" s="322"/>
    </row>
    <row r="6" spans="1:9" ht="19" x14ac:dyDescent="0.2">
      <c r="A6" s="7" t="s">
        <v>16</v>
      </c>
      <c r="B6" s="322" t="s">
        <v>308</v>
      </c>
      <c r="C6" s="322"/>
      <c r="D6" s="322"/>
      <c r="E6" s="322"/>
    </row>
    <row r="7" spans="1:9" ht="19" x14ac:dyDescent="0.2">
      <c r="A7" s="7" t="s">
        <v>70</v>
      </c>
      <c r="B7" s="322" t="s">
        <v>100</v>
      </c>
      <c r="C7" s="322"/>
      <c r="D7" s="322"/>
      <c r="E7" s="322"/>
    </row>
    <row r="8" spans="1:9" ht="19" x14ac:dyDescent="0.2">
      <c r="A8" s="7" t="s">
        <v>12</v>
      </c>
      <c r="B8" s="273">
        <v>45370</v>
      </c>
      <c r="C8" s="265"/>
      <c r="D8" s="265"/>
      <c r="E8" s="265"/>
    </row>
    <row r="9" spans="1:9" ht="20" thickBot="1" x14ac:dyDescent="0.25">
      <c r="A9" s="7"/>
    </row>
    <row r="10" spans="1:9" s="21" customFormat="1" ht="18" thickBot="1" x14ac:dyDescent="0.25">
      <c r="A10" s="226" t="s">
        <v>21</v>
      </c>
      <c r="B10" s="227" t="s">
        <v>48</v>
      </c>
      <c r="C10" s="228" t="s">
        <v>78</v>
      </c>
      <c r="D10" s="229"/>
      <c r="E10" s="228" t="s">
        <v>79</v>
      </c>
      <c r="F10" s="229" t="s">
        <v>80</v>
      </c>
      <c r="G10" s="227" t="s">
        <v>91</v>
      </c>
      <c r="H10" s="230" t="s">
        <v>81</v>
      </c>
    </row>
    <row r="11" spans="1:9" s="21" customFormat="1" ht="17" x14ac:dyDescent="0.2">
      <c r="A11" s="224" t="s">
        <v>95</v>
      </c>
      <c r="B11" s="200"/>
      <c r="C11" s="203"/>
      <c r="D11" s="204"/>
      <c r="E11" s="203"/>
      <c r="F11" s="204"/>
      <c r="G11" s="200"/>
      <c r="H11" s="225"/>
    </row>
    <row r="12" spans="1:9" ht="15" x14ac:dyDescent="0.2">
      <c r="A12" s="245" t="s">
        <v>84</v>
      </c>
      <c r="B12" s="236"/>
      <c r="C12" s="237"/>
      <c r="D12" s="238"/>
      <c r="E12" s="237"/>
      <c r="F12" s="238"/>
      <c r="G12" s="236"/>
      <c r="H12" s="246"/>
    </row>
    <row r="13" spans="1:9" ht="15" x14ac:dyDescent="0.2">
      <c r="A13" s="220" t="s">
        <v>163</v>
      </c>
      <c r="B13" s="202">
        <v>1</v>
      </c>
      <c r="C13" s="256">
        <f>3003+3789</f>
        <v>6792</v>
      </c>
      <c r="D13" s="208" t="s">
        <v>87</v>
      </c>
      <c r="E13" s="211">
        <v>2.0790000000000002</v>
      </c>
      <c r="F13" s="208" t="s">
        <v>86</v>
      </c>
      <c r="G13" s="213">
        <f>C13*E13/1000</f>
        <v>14.120568</v>
      </c>
      <c r="H13" s="221" t="s">
        <v>341</v>
      </c>
      <c r="I13" s="259">
        <f>G13/$G$26</f>
        <v>3.3026532277513641E-2</v>
      </c>
    </row>
    <row r="14" spans="1:9" ht="15" x14ac:dyDescent="0.2">
      <c r="A14" s="218" t="s">
        <v>159</v>
      </c>
      <c r="B14" s="201"/>
      <c r="C14" s="260"/>
      <c r="D14" s="206"/>
      <c r="E14" s="205"/>
      <c r="F14" s="206"/>
      <c r="G14" s="201"/>
      <c r="H14" s="219"/>
      <c r="I14" s="259"/>
    </row>
    <row r="15" spans="1:9" ht="16" x14ac:dyDescent="0.2">
      <c r="A15" s="220" t="s">
        <v>160</v>
      </c>
      <c r="B15" s="202">
        <v>1</v>
      </c>
      <c r="C15" s="256">
        <v>119977</v>
      </c>
      <c r="D15" s="210" t="s">
        <v>24</v>
      </c>
      <c r="E15" s="212">
        <v>3.2559999999999998</v>
      </c>
      <c r="F15" s="208" t="s">
        <v>88</v>
      </c>
      <c r="G15" s="213">
        <f>C15*E15/1000</f>
        <v>390.64511199999998</v>
      </c>
      <c r="H15" s="221" t="s">
        <v>342</v>
      </c>
      <c r="I15" s="259">
        <f>G15/$G$26</f>
        <v>0.91367807587633376</v>
      </c>
    </row>
    <row r="16" spans="1:9" ht="15" x14ac:dyDescent="0.2">
      <c r="A16" s="218" t="s">
        <v>98</v>
      </c>
      <c r="B16" s="201"/>
      <c r="C16" s="260"/>
      <c r="D16" s="206"/>
      <c r="E16" s="205"/>
      <c r="F16" s="206"/>
      <c r="G16" s="201"/>
      <c r="H16" s="219"/>
      <c r="I16" s="259"/>
    </row>
    <row r="17" spans="1:9" ht="15" x14ac:dyDescent="0.2">
      <c r="A17" s="220" t="s">
        <v>161</v>
      </c>
      <c r="B17" s="202">
        <v>1</v>
      </c>
      <c r="C17" s="261">
        <f>20*13</f>
        <v>260</v>
      </c>
      <c r="D17" s="208" t="s">
        <v>25</v>
      </c>
      <c r="E17" s="212">
        <v>1.802</v>
      </c>
      <c r="F17" s="208" t="s">
        <v>88</v>
      </c>
      <c r="G17" s="213">
        <f>C17*E17/1000</f>
        <v>0.46852000000000005</v>
      </c>
      <c r="H17" s="221" t="s">
        <v>343</v>
      </c>
      <c r="I17" s="259">
        <f>G17/$G$26</f>
        <v>1.095819297259196E-3</v>
      </c>
    </row>
    <row r="18" spans="1:9" ht="15" x14ac:dyDescent="0.2">
      <c r="A18" s="220" t="s">
        <v>168</v>
      </c>
      <c r="B18" s="202">
        <v>1</v>
      </c>
      <c r="C18" s="261">
        <f>47*10.5*2</f>
        <v>987</v>
      </c>
      <c r="D18" s="208" t="s">
        <v>167</v>
      </c>
      <c r="E18" s="212">
        <v>1.7250000000000001</v>
      </c>
      <c r="F18" s="208" t="s">
        <v>88</v>
      </c>
      <c r="G18" s="213">
        <f>C18*E18/1000</f>
        <v>1.7025749999999999</v>
      </c>
      <c r="H18" s="221" t="s">
        <v>344</v>
      </c>
      <c r="I18" s="259">
        <f>G18/$G$26</f>
        <v>3.9821449245092538E-3</v>
      </c>
    </row>
    <row r="19" spans="1:9" ht="15" x14ac:dyDescent="0.2">
      <c r="A19" s="222" t="s">
        <v>89</v>
      </c>
      <c r="B19" s="199">
        <v>1</v>
      </c>
      <c r="C19" s="262">
        <v>2621.4</v>
      </c>
      <c r="D19" s="198" t="s">
        <v>167</v>
      </c>
      <c r="E19" s="215">
        <v>2.8210000000000002</v>
      </c>
      <c r="F19" s="198" t="s">
        <v>88</v>
      </c>
      <c r="G19" s="216">
        <f>C19*E19/1000</f>
        <v>7.3949694000000008</v>
      </c>
      <c r="H19" s="223" t="s">
        <v>345</v>
      </c>
      <c r="I19" s="259">
        <f>G19/$G$26</f>
        <v>1.7296060298730594E-2</v>
      </c>
    </row>
    <row r="20" spans="1:9" ht="17" x14ac:dyDescent="0.2">
      <c r="A20" s="231" t="s">
        <v>96</v>
      </c>
      <c r="B20" s="232"/>
      <c r="C20" s="233"/>
      <c r="D20" s="234"/>
      <c r="E20" s="233"/>
      <c r="F20" s="234"/>
      <c r="G20" s="232"/>
      <c r="H20" s="235"/>
      <c r="I20" s="259"/>
    </row>
    <row r="21" spans="1:9" ht="15" x14ac:dyDescent="0.2">
      <c r="A21" s="245" t="s">
        <v>83</v>
      </c>
      <c r="B21" s="236"/>
      <c r="C21" s="237"/>
      <c r="D21" s="238"/>
      <c r="E21" s="237"/>
      <c r="F21" s="238"/>
      <c r="G21" s="236"/>
      <c r="H21" s="246"/>
      <c r="I21" s="259"/>
    </row>
    <row r="22" spans="1:9" ht="15" x14ac:dyDescent="0.2">
      <c r="A22" s="222" t="s">
        <v>31</v>
      </c>
      <c r="B22" s="199">
        <v>2</v>
      </c>
      <c r="C22" s="244">
        <f>12742+11172</f>
        <v>23914</v>
      </c>
      <c r="D22" s="198" t="s">
        <v>2</v>
      </c>
      <c r="E22" s="217">
        <v>0</v>
      </c>
      <c r="F22" s="198" t="s">
        <v>85</v>
      </c>
      <c r="G22" s="216">
        <f>C22*E22/1000</f>
        <v>0</v>
      </c>
      <c r="H22" s="223" t="s">
        <v>346</v>
      </c>
      <c r="I22" s="259">
        <f>G22/$G$26</f>
        <v>0</v>
      </c>
    </row>
    <row r="23" spans="1:9" ht="15" x14ac:dyDescent="0.2">
      <c r="A23" s="264" t="s">
        <v>333</v>
      </c>
      <c r="B23" s="202"/>
      <c r="C23" s="263"/>
      <c r="D23" s="208"/>
      <c r="E23" s="211"/>
      <c r="F23" s="208"/>
      <c r="G23" s="213"/>
      <c r="H23" s="221"/>
      <c r="I23" s="259"/>
    </row>
    <row r="24" spans="1:9" ht="15" x14ac:dyDescent="0.2">
      <c r="A24" s="220" t="s">
        <v>332</v>
      </c>
      <c r="B24" s="202">
        <v>3</v>
      </c>
      <c r="C24" s="263">
        <f>40000+28500</f>
        <v>68500</v>
      </c>
      <c r="D24" s="208" t="s">
        <v>3</v>
      </c>
      <c r="E24" s="211">
        <v>0.193</v>
      </c>
      <c r="F24" s="208" t="s">
        <v>334</v>
      </c>
      <c r="G24" s="213">
        <f>C24*E24/1000</f>
        <v>13.220499999999999</v>
      </c>
      <c r="H24" s="221" t="s">
        <v>336</v>
      </c>
      <c r="I24" s="259">
        <f>G24/$G$26</f>
        <v>3.0921367325653547E-2</v>
      </c>
    </row>
    <row r="25" spans="1:9" ht="15" x14ac:dyDescent="0.2">
      <c r="A25" s="220"/>
      <c r="B25" s="202"/>
      <c r="C25" s="263"/>
      <c r="D25" s="208"/>
      <c r="E25" s="211"/>
      <c r="F25" s="208"/>
      <c r="G25" s="213"/>
      <c r="H25" s="221"/>
      <c r="I25" s="259"/>
    </row>
    <row r="26" spans="1:9" ht="22" thickBot="1" x14ac:dyDescent="0.25">
      <c r="A26" s="239" t="s">
        <v>13</v>
      </c>
      <c r="B26" s="240"/>
      <c r="C26" s="241"/>
      <c r="D26" s="242"/>
      <c r="E26" s="241"/>
      <c r="F26" s="242"/>
      <c r="G26" s="253">
        <f>SUM(G12:G24)</f>
        <v>427.55224440000001</v>
      </c>
      <c r="H26" s="243"/>
    </row>
    <row r="28" spans="1:9" ht="16" x14ac:dyDescent="0.2">
      <c r="D28" s="41"/>
      <c r="E28" s="41"/>
      <c r="F28" s="44" t="s">
        <v>97</v>
      </c>
      <c r="G28" s="45"/>
    </row>
    <row r="29" spans="1:9" ht="16" x14ac:dyDescent="0.2">
      <c r="D29" s="41"/>
      <c r="E29" s="41"/>
      <c r="F29" s="42" t="s">
        <v>95</v>
      </c>
      <c r="G29" s="43">
        <f>SUM(G12:G19)</f>
        <v>414.33174439999999</v>
      </c>
      <c r="H29" s="249"/>
      <c r="I29" s="250"/>
    </row>
    <row r="30" spans="1:9" ht="16" x14ac:dyDescent="0.2">
      <c r="D30" s="41"/>
      <c r="E30" s="41"/>
      <c r="F30" s="46" t="s">
        <v>96</v>
      </c>
      <c r="G30" s="47">
        <f>SUM(G20:G22)</f>
        <v>0</v>
      </c>
      <c r="H30" s="251"/>
      <c r="I30" s="250"/>
    </row>
    <row r="31" spans="1:9" ht="16" x14ac:dyDescent="0.2">
      <c r="D31" s="41"/>
      <c r="E31" s="41"/>
      <c r="F31" s="46" t="s">
        <v>335</v>
      </c>
      <c r="G31" s="47">
        <f>G24</f>
        <v>13.220499999999999</v>
      </c>
      <c r="H31" s="251"/>
      <c r="I31" s="250"/>
    </row>
    <row r="32" spans="1:9" ht="16" x14ac:dyDescent="0.2">
      <c r="D32" s="321" t="s">
        <v>99</v>
      </c>
      <c r="E32" s="321"/>
      <c r="F32" s="321"/>
      <c r="G32" s="321"/>
      <c r="H32" s="252"/>
    </row>
    <row r="33" spans="4:8" ht="16" x14ac:dyDescent="0.2">
      <c r="D33" s="321" t="s">
        <v>82</v>
      </c>
      <c r="E33" s="321"/>
      <c r="F33" s="321"/>
      <c r="G33" s="43">
        <f>G15</f>
        <v>390.64511199999998</v>
      </c>
      <c r="H33" s="247">
        <f>G33/$G$26</f>
        <v>0.91367807587633376</v>
      </c>
    </row>
    <row r="34" spans="4:8" ht="16" x14ac:dyDescent="0.2">
      <c r="D34" s="321" t="s">
        <v>98</v>
      </c>
      <c r="E34" s="321"/>
      <c r="F34" s="321"/>
      <c r="G34" s="43">
        <f>G17+G18+G19</f>
        <v>9.5660644000000019</v>
      </c>
      <c r="H34" s="247">
        <f>G34/$G$26</f>
        <v>2.2374024520499049E-2</v>
      </c>
    </row>
    <row r="35" spans="4:8" ht="16" x14ac:dyDescent="0.2">
      <c r="D35" s="321" t="s">
        <v>83</v>
      </c>
      <c r="E35" s="321"/>
      <c r="F35" s="321"/>
      <c r="G35" s="43">
        <f>G22</f>
        <v>0</v>
      </c>
      <c r="H35" s="247">
        <f>G35/$G$26</f>
        <v>0</v>
      </c>
    </row>
    <row r="36" spans="4:8" ht="16" x14ac:dyDescent="0.2">
      <c r="D36" s="321" t="s">
        <v>84</v>
      </c>
      <c r="E36" s="321"/>
      <c r="F36" s="321"/>
      <c r="G36" s="43">
        <f>G13</f>
        <v>14.120568</v>
      </c>
      <c r="H36" s="247">
        <f>G36/$G$26</f>
        <v>3.3026532277513641E-2</v>
      </c>
    </row>
  </sheetData>
  <sheetProtection algorithmName="SHA-512" hashValue="tBDAnZN9tRPPpOG/RK5IgZ4OLk4kLTXpqK1CJ1cGaCFStIDp4PVV/Q71Yg65fa5khbtRPd5au7O5t5/ef0G8TQ==" saltValue="tLxiYREsSRzEB4WVzZiqrQ==" spinCount="100000" sheet="1" objects="1" scenarios="1"/>
  <mergeCells count="11">
    <mergeCell ref="D32:G32"/>
    <mergeCell ref="D33:F33"/>
    <mergeCell ref="D34:F34"/>
    <mergeCell ref="D35:F35"/>
    <mergeCell ref="D36:F36"/>
    <mergeCell ref="B7:E7"/>
    <mergeCell ref="A1:H1"/>
    <mergeCell ref="B3:E3"/>
    <mergeCell ref="B4:E4"/>
    <mergeCell ref="B5:E5"/>
    <mergeCell ref="B6:E6"/>
  </mergeCells>
  <conditionalFormatting sqref="A17:A19">
    <cfRule type="expression" dxfId="37" priority="5">
      <formula>#REF!="Nee"</formula>
    </cfRule>
  </conditionalFormatting>
  <conditionalFormatting sqref="A15:B15 D15:G15 G17:G19">
    <cfRule type="expression" dxfId="36" priority="8">
      <formula>#REF!="Nee"</formula>
    </cfRule>
  </conditionalFormatting>
  <conditionalFormatting sqref="A13:G13">
    <cfRule type="expression" dxfId="35" priority="4">
      <formula>#REF!="nee"</formula>
    </cfRule>
  </conditionalFormatting>
  <conditionalFormatting sqref="A22:G25">
    <cfRule type="expression" dxfId="34" priority="6">
      <formula>#REF!="nee"</formula>
    </cfRule>
  </conditionalFormatting>
  <conditionalFormatting sqref="C15">
    <cfRule type="expression" dxfId="33" priority="2">
      <formula>#REF!="nee"</formula>
    </cfRule>
  </conditionalFormatting>
  <conditionalFormatting sqref="E15:F15 B17:G19">
    <cfRule type="expression" dxfId="32" priority="7">
      <formula>#REF!="nee"</formula>
    </cfRule>
  </conditionalFormatting>
  <conditionalFormatting sqref="G13">
    <cfRule type="expression" dxfId="31" priority="3">
      <formula>#REF!="Nee"</formula>
    </cfRule>
  </conditionalFormatting>
  <conditionalFormatting sqref="G22:G25">
    <cfRule type="expression" dxfId="30" priority="1">
      <formula>#REF!="Nee"</formula>
    </cfRule>
  </conditionalFormatting>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E9F0B-B986-2C4B-9188-00B482C417AD}">
  <dimension ref="B1:J38"/>
  <sheetViews>
    <sheetView tabSelected="1" zoomScaleNormal="130" workbookViewId="0">
      <selection activeCell="O36" sqref="O36"/>
    </sheetView>
  </sheetViews>
  <sheetFormatPr baseColWidth="10" defaultColWidth="8.83203125" defaultRowHeight="14" x14ac:dyDescent="0.2"/>
  <cols>
    <col min="1" max="1" width="8.83203125" style="15"/>
    <col min="2" max="2" width="39" style="15" bestFit="1" customWidth="1"/>
    <col min="3" max="3" width="11.83203125" style="15" bestFit="1" customWidth="1"/>
    <col min="4" max="4" width="13.33203125" style="15" customWidth="1"/>
    <col min="5" max="5" width="15" style="15" customWidth="1"/>
    <col min="6" max="6" width="15.33203125" style="15" customWidth="1"/>
    <col min="7" max="7" width="16.1640625" style="15" customWidth="1"/>
    <col min="8" max="8" width="10.5" style="15" customWidth="1"/>
    <col min="9" max="9" width="47.5" style="15" bestFit="1" customWidth="1"/>
    <col min="10" max="16384" width="8.83203125" style="15"/>
  </cols>
  <sheetData>
    <row r="1" spans="2:10" ht="21" x14ac:dyDescent="0.2">
      <c r="B1" s="323" t="s">
        <v>348</v>
      </c>
      <c r="C1" s="323"/>
      <c r="D1" s="323"/>
      <c r="E1" s="323"/>
      <c r="F1" s="323"/>
      <c r="G1" s="323"/>
      <c r="H1" s="323"/>
      <c r="I1" s="323"/>
    </row>
    <row r="2" spans="2:10" ht="19" x14ac:dyDescent="0.2">
      <c r="B2" s="7"/>
    </row>
    <row r="3" spans="2:10" ht="19" x14ac:dyDescent="0.2">
      <c r="B3" s="7" t="s">
        <v>68</v>
      </c>
      <c r="C3" s="322" t="str">
        <f>'3.A.1 Emissie inventaris'!B4</f>
        <v xml:space="preserve">Kreeft Participaties B.V. (Kreeft) </v>
      </c>
      <c r="D3" s="322"/>
      <c r="E3" s="322"/>
      <c r="F3" s="322"/>
    </row>
    <row r="4" spans="2:10" ht="19" x14ac:dyDescent="0.2">
      <c r="B4" s="7" t="s">
        <v>69</v>
      </c>
      <c r="C4" s="322">
        <f>'3.A.1 Emissie inventaris'!B14</f>
        <v>4081360</v>
      </c>
      <c r="D4" s="322"/>
      <c r="E4" s="322"/>
      <c r="F4" s="322"/>
    </row>
    <row r="5" spans="2:10" ht="19" x14ac:dyDescent="0.2">
      <c r="B5" s="7" t="s">
        <v>15</v>
      </c>
      <c r="C5" s="322" t="s">
        <v>347</v>
      </c>
      <c r="D5" s="322"/>
      <c r="E5" s="322"/>
      <c r="F5" s="322"/>
    </row>
    <row r="6" spans="2:10" ht="19" x14ac:dyDescent="0.2">
      <c r="B6" s="7" t="s">
        <v>16</v>
      </c>
      <c r="C6" s="322" t="s">
        <v>308</v>
      </c>
      <c r="D6" s="322"/>
      <c r="E6" s="322"/>
      <c r="F6" s="322"/>
    </row>
    <row r="7" spans="2:10" ht="19" x14ac:dyDescent="0.2">
      <c r="B7" s="7" t="s">
        <v>70</v>
      </c>
      <c r="C7" s="322" t="s">
        <v>100</v>
      </c>
      <c r="D7" s="322"/>
      <c r="E7" s="322"/>
      <c r="F7" s="322"/>
    </row>
    <row r="8" spans="2:10" ht="19" x14ac:dyDescent="0.2">
      <c r="B8" s="7" t="s">
        <v>12</v>
      </c>
      <c r="C8" s="273">
        <v>45385</v>
      </c>
      <c r="D8" s="265"/>
      <c r="E8" s="265"/>
      <c r="F8" s="265"/>
    </row>
    <row r="9" spans="2:10" ht="20" thickBot="1" x14ac:dyDescent="0.25">
      <c r="B9" s="7"/>
    </row>
    <row r="10" spans="2:10" s="21" customFormat="1" ht="18" thickBot="1" x14ac:dyDescent="0.25">
      <c r="B10" s="226" t="s">
        <v>21</v>
      </c>
      <c r="C10" s="227" t="s">
        <v>48</v>
      </c>
      <c r="D10" s="228" t="s">
        <v>78</v>
      </c>
      <c r="E10" s="229"/>
      <c r="F10" s="228" t="s">
        <v>79</v>
      </c>
      <c r="G10" s="229" t="s">
        <v>80</v>
      </c>
      <c r="H10" s="227" t="s">
        <v>91</v>
      </c>
      <c r="I10" s="230" t="s">
        <v>81</v>
      </c>
    </row>
    <row r="11" spans="2:10" s="21" customFormat="1" ht="17" x14ac:dyDescent="0.2">
      <c r="B11" s="224" t="s">
        <v>95</v>
      </c>
      <c r="C11" s="200"/>
      <c r="D11" s="203"/>
      <c r="E11" s="204"/>
      <c r="F11" s="203"/>
      <c r="G11" s="204"/>
      <c r="H11" s="200"/>
      <c r="I11" s="225"/>
    </row>
    <row r="12" spans="2:10" ht="15" x14ac:dyDescent="0.2">
      <c r="B12" s="245" t="s">
        <v>84</v>
      </c>
      <c r="C12" s="236"/>
      <c r="D12" s="237"/>
      <c r="E12" s="238"/>
      <c r="F12" s="237"/>
      <c r="G12" s="238"/>
      <c r="H12" s="236"/>
      <c r="I12" s="246"/>
    </row>
    <row r="13" spans="2:10" ht="15" x14ac:dyDescent="0.2">
      <c r="B13" s="220" t="s">
        <v>163</v>
      </c>
      <c r="C13" s="202">
        <v>1</v>
      </c>
      <c r="D13" s="256">
        <v>7585</v>
      </c>
      <c r="E13" s="208" t="s">
        <v>87</v>
      </c>
      <c r="F13" s="211">
        <v>2.0790000000000002</v>
      </c>
      <c r="G13" s="208" t="s">
        <v>86</v>
      </c>
      <c r="H13" s="213">
        <f>D13*F13/1000</f>
        <v>15.769215000000003</v>
      </c>
      <c r="I13" s="221" t="s">
        <v>354</v>
      </c>
      <c r="J13" s="259">
        <f>H13/$H$27</f>
        <v>4.0762180363515907E-2</v>
      </c>
    </row>
    <row r="14" spans="2:10" ht="15" x14ac:dyDescent="0.2">
      <c r="B14" s="218" t="s">
        <v>159</v>
      </c>
      <c r="C14" s="201"/>
      <c r="D14" s="205"/>
      <c r="E14" s="206"/>
      <c r="F14" s="205"/>
      <c r="G14" s="206"/>
      <c r="H14" s="201"/>
      <c r="I14" s="219"/>
      <c r="J14" s="259"/>
    </row>
    <row r="15" spans="2:10" ht="16" x14ac:dyDescent="0.2">
      <c r="B15" s="220" t="s">
        <v>160</v>
      </c>
      <c r="C15" s="202">
        <v>1</v>
      </c>
      <c r="D15" s="256">
        <v>103901.94</v>
      </c>
      <c r="E15" s="210" t="s">
        <v>24</v>
      </c>
      <c r="F15" s="212">
        <v>3.2559999999999998</v>
      </c>
      <c r="G15" s="208" t="s">
        <v>88</v>
      </c>
      <c r="H15" s="213">
        <f>D15*F15/1000</f>
        <v>338.30471663999998</v>
      </c>
      <c r="I15" s="221" t="s">
        <v>342</v>
      </c>
      <c r="J15" s="259">
        <f>H15/$H$27</f>
        <v>0.87449108135743081</v>
      </c>
    </row>
    <row r="16" spans="2:10" ht="15" x14ac:dyDescent="0.2">
      <c r="B16" s="218" t="s">
        <v>98</v>
      </c>
      <c r="C16" s="201"/>
      <c r="D16" s="205"/>
      <c r="E16" s="206"/>
      <c r="F16" s="205"/>
      <c r="G16" s="206"/>
      <c r="H16" s="201"/>
      <c r="I16" s="219"/>
      <c r="J16" s="259"/>
    </row>
    <row r="17" spans="2:10" ht="15" x14ac:dyDescent="0.2">
      <c r="B17" s="220" t="s">
        <v>161</v>
      </c>
      <c r="C17" s="202">
        <v>1</v>
      </c>
      <c r="D17" s="276">
        <f>14*13</f>
        <v>182</v>
      </c>
      <c r="E17" s="208" t="s">
        <v>25</v>
      </c>
      <c r="F17" s="212">
        <v>1.802</v>
      </c>
      <c r="G17" s="208" t="s">
        <v>88</v>
      </c>
      <c r="H17" s="213">
        <f>D17*F17/1000</f>
        <v>0.32796399999999998</v>
      </c>
      <c r="I17" s="221" t="s">
        <v>343</v>
      </c>
      <c r="J17" s="259">
        <f>H17/$H$27</f>
        <v>8.4776114224710162E-4</v>
      </c>
    </row>
    <row r="18" spans="2:10" ht="15" x14ac:dyDescent="0.2">
      <c r="B18" s="220" t="s">
        <v>168</v>
      </c>
      <c r="C18" s="202">
        <v>1</v>
      </c>
      <c r="D18" s="276">
        <f>63*10.5*2</f>
        <v>1323</v>
      </c>
      <c r="E18" s="208" t="s">
        <v>167</v>
      </c>
      <c r="F18" s="212">
        <v>1.7250000000000001</v>
      </c>
      <c r="G18" s="208" t="s">
        <v>88</v>
      </c>
      <c r="H18" s="213">
        <f>D18*F18/1000</f>
        <v>2.2821750000000001</v>
      </c>
      <c r="I18" s="221" t="s">
        <v>344</v>
      </c>
      <c r="J18" s="259">
        <f>H18/$H$27</f>
        <v>5.8992428583862231E-3</v>
      </c>
    </row>
    <row r="19" spans="2:10" ht="15" x14ac:dyDescent="0.2">
      <c r="B19" s="222" t="s">
        <v>89</v>
      </c>
      <c r="C19" s="199">
        <v>1</v>
      </c>
      <c r="D19" s="277">
        <f>105*5+1453.22</f>
        <v>1978.22</v>
      </c>
      <c r="E19" s="198" t="s">
        <v>167</v>
      </c>
      <c r="F19" s="215">
        <v>2.8210000000000002</v>
      </c>
      <c r="G19" s="198" t="s">
        <v>88</v>
      </c>
      <c r="H19" s="216">
        <f>D19*F19/1000</f>
        <v>5.5805586200000006</v>
      </c>
      <c r="I19" s="223" t="s">
        <v>345</v>
      </c>
      <c r="J19" s="259">
        <f>H19/$H$27</f>
        <v>1.442530506417811E-2</v>
      </c>
    </row>
    <row r="20" spans="2:10" ht="17" x14ac:dyDescent="0.2">
      <c r="B20" s="231" t="s">
        <v>96</v>
      </c>
      <c r="C20" s="232"/>
      <c r="D20" s="233"/>
      <c r="E20" s="234"/>
      <c r="F20" s="233"/>
      <c r="G20" s="234"/>
      <c r="H20" s="232"/>
      <c r="I20" s="235"/>
      <c r="J20" s="259"/>
    </row>
    <row r="21" spans="2:10" ht="15" x14ac:dyDescent="0.2">
      <c r="B21" s="245" t="s">
        <v>83</v>
      </c>
      <c r="C21" s="236"/>
      <c r="D21" s="237"/>
      <c r="E21" s="281"/>
      <c r="F21" s="283"/>
      <c r="G21" s="288"/>
      <c r="H21" s="289"/>
      <c r="I21" s="246"/>
      <c r="J21" s="259"/>
    </row>
    <row r="22" spans="2:10" ht="15" x14ac:dyDescent="0.2">
      <c r="B22" s="278" t="s">
        <v>352</v>
      </c>
      <c r="C22" s="202">
        <v>2</v>
      </c>
      <c r="D22" s="286">
        <v>24693.487000000001</v>
      </c>
      <c r="E22" s="280" t="s">
        <v>2</v>
      </c>
      <c r="F22" s="284">
        <v>0.53600000000000003</v>
      </c>
      <c r="G22" s="280" t="s">
        <v>85</v>
      </c>
      <c r="H22" s="290">
        <f>D22*F22/1000</f>
        <v>13.235709032000001</v>
      </c>
      <c r="I22" s="279" t="s">
        <v>353</v>
      </c>
      <c r="J22" s="259">
        <f>H22/$H$27</f>
        <v>3.4213266722623828E-2</v>
      </c>
    </row>
    <row r="23" spans="2:10" ht="15" x14ac:dyDescent="0.2">
      <c r="B23" s="222" t="s">
        <v>31</v>
      </c>
      <c r="C23" s="199">
        <v>2</v>
      </c>
      <c r="D23" s="244">
        <v>23399</v>
      </c>
      <c r="E23" s="282" t="s">
        <v>2</v>
      </c>
      <c r="F23" s="285">
        <v>0</v>
      </c>
      <c r="G23" s="287" t="s">
        <v>85</v>
      </c>
      <c r="H23" s="291">
        <f>D23*F23/1000</f>
        <v>0</v>
      </c>
      <c r="I23" s="223" t="s">
        <v>346</v>
      </c>
      <c r="J23" s="259">
        <f>H23/$H$27</f>
        <v>0</v>
      </c>
    </row>
    <row r="24" spans="2:10" ht="15" x14ac:dyDescent="0.2">
      <c r="B24" s="264" t="s">
        <v>333</v>
      </c>
      <c r="C24" s="202"/>
      <c r="D24" s="263"/>
      <c r="E24" s="208"/>
      <c r="F24" s="211"/>
      <c r="G24" s="208"/>
      <c r="H24" s="213"/>
      <c r="I24" s="221"/>
      <c r="J24" s="259"/>
    </row>
    <row r="25" spans="2:10" ht="15" x14ac:dyDescent="0.2">
      <c r="B25" s="220" t="s">
        <v>332</v>
      </c>
      <c r="C25" s="202">
        <v>3</v>
      </c>
      <c r="D25" s="263">
        <f>35961+22892</f>
        <v>58853</v>
      </c>
      <c r="E25" s="208" t="s">
        <v>3</v>
      </c>
      <c r="F25" s="211">
        <v>0.193</v>
      </c>
      <c r="G25" s="208" t="s">
        <v>334</v>
      </c>
      <c r="H25" s="213">
        <f>D25*F25/1000</f>
        <v>11.358629000000001</v>
      </c>
      <c r="I25" s="221" t="s">
        <v>336</v>
      </c>
      <c r="J25" s="259">
        <f>H25/$H$27</f>
        <v>2.9361162491618149E-2</v>
      </c>
    </row>
    <row r="26" spans="2:10" ht="15" x14ac:dyDescent="0.2">
      <c r="B26" s="220"/>
      <c r="C26" s="202"/>
      <c r="D26" s="263"/>
      <c r="E26" s="208"/>
      <c r="F26" s="211"/>
      <c r="G26" s="208"/>
      <c r="H26" s="213"/>
      <c r="I26" s="221"/>
      <c r="J26" s="259"/>
    </row>
    <row r="27" spans="2:10" ht="22" thickBot="1" x14ac:dyDescent="0.25">
      <c r="B27" s="239" t="s">
        <v>13</v>
      </c>
      <c r="C27" s="240"/>
      <c r="D27" s="241"/>
      <c r="E27" s="242"/>
      <c r="F27" s="241"/>
      <c r="G27" s="242"/>
      <c r="H27" s="301">
        <f>SUM(H12:H25)</f>
        <v>386.85896729199993</v>
      </c>
      <c r="I27" s="243"/>
    </row>
    <row r="29" spans="2:10" ht="16" x14ac:dyDescent="0.2">
      <c r="E29" s="41"/>
      <c r="F29" s="41"/>
      <c r="G29" s="44" t="s">
        <v>97</v>
      </c>
      <c r="H29" s="45"/>
    </row>
    <row r="30" spans="2:10" ht="16" x14ac:dyDescent="0.2">
      <c r="E30" s="41"/>
      <c r="F30" s="41"/>
      <c r="G30" s="42" t="s">
        <v>95</v>
      </c>
      <c r="H30" s="43">
        <f>SUM(H12:H19)</f>
        <v>362.26462925999994</v>
      </c>
      <c r="I30" s="249"/>
      <c r="J30" s="250"/>
    </row>
    <row r="31" spans="2:10" ht="16" x14ac:dyDescent="0.2">
      <c r="E31" s="41"/>
      <c r="F31" s="41"/>
      <c r="G31" s="46" t="s">
        <v>96</v>
      </c>
      <c r="H31" s="47">
        <f>SUM(H20:H23)</f>
        <v>13.235709032000001</v>
      </c>
      <c r="I31" s="251"/>
      <c r="J31" s="250"/>
    </row>
    <row r="32" spans="2:10" ht="16" x14ac:dyDescent="0.2">
      <c r="E32" s="41"/>
      <c r="F32" s="41"/>
      <c r="G32" s="46" t="s">
        <v>335</v>
      </c>
      <c r="H32" s="47">
        <f>H25</f>
        <v>11.358629000000001</v>
      </c>
      <c r="I32" s="251"/>
      <c r="J32" s="250"/>
    </row>
    <row r="33" spans="5:9" ht="16" x14ac:dyDescent="0.2">
      <c r="E33" s="321" t="s">
        <v>99</v>
      </c>
      <c r="F33" s="321"/>
      <c r="G33" s="321"/>
      <c r="H33" s="321"/>
      <c r="I33" s="252"/>
    </row>
    <row r="34" spans="5:9" ht="16" x14ac:dyDescent="0.2">
      <c r="E34" s="321" t="s">
        <v>82</v>
      </c>
      <c r="F34" s="321"/>
      <c r="G34" s="321"/>
      <c r="H34" s="43">
        <f>H15+H25</f>
        <v>349.66334563999999</v>
      </c>
      <c r="I34" s="247">
        <f>H34/$H$27</f>
        <v>0.90385224384904894</v>
      </c>
    </row>
    <row r="35" spans="5:9" ht="16" x14ac:dyDescent="0.2">
      <c r="E35" s="321" t="s">
        <v>98</v>
      </c>
      <c r="F35" s="321"/>
      <c r="G35" s="321"/>
      <c r="H35" s="43">
        <f>H17+H18+H19</f>
        <v>8.1906976200000017</v>
      </c>
      <c r="I35" s="247">
        <f>H35/$H$27</f>
        <v>2.1172309064811438E-2</v>
      </c>
    </row>
    <row r="36" spans="5:9" ht="16" x14ac:dyDescent="0.2">
      <c r="E36" s="321" t="s">
        <v>83</v>
      </c>
      <c r="F36" s="321"/>
      <c r="G36" s="321"/>
      <c r="H36" s="43">
        <f>H22</f>
        <v>13.235709032000001</v>
      </c>
      <c r="I36" s="247">
        <f>H36/$H$27</f>
        <v>3.4213266722623828E-2</v>
      </c>
    </row>
    <row r="37" spans="5:9" ht="16" x14ac:dyDescent="0.2">
      <c r="E37" s="325" t="s">
        <v>84</v>
      </c>
      <c r="F37" s="325"/>
      <c r="G37" s="325"/>
      <c r="H37" s="47">
        <f>H13</f>
        <v>15.769215000000003</v>
      </c>
      <c r="I37" s="247">
        <f>H37/$H$27</f>
        <v>4.0762180363515907E-2</v>
      </c>
    </row>
    <row r="38" spans="5:9" ht="16" x14ac:dyDescent="0.2">
      <c r="E38" s="324" t="s">
        <v>352</v>
      </c>
      <c r="F38" s="324"/>
      <c r="G38" s="324"/>
      <c r="H38" s="302">
        <f>H22</f>
        <v>13.235709032000001</v>
      </c>
      <c r="I38" s="247">
        <f>H38/$H$27</f>
        <v>3.4213266722623828E-2</v>
      </c>
    </row>
  </sheetData>
  <sheetProtection algorithmName="SHA-512" hashValue="KORM+JqSuc9BJJoNjMHyfznPNjuFfapcOX66nR/pcG6Ayoa9v1K5ZJ6ACKI7iVzhaEad1bQYL5yOnjQQTqHT5g==" saltValue="YFdLW9l+gR7VKSbVTD9MSw==" spinCount="100000" sheet="1" objects="1" scenarios="1"/>
  <mergeCells count="12">
    <mergeCell ref="E38:G38"/>
    <mergeCell ref="C7:F7"/>
    <mergeCell ref="B1:I1"/>
    <mergeCell ref="C3:F3"/>
    <mergeCell ref="C4:F4"/>
    <mergeCell ref="C5:F5"/>
    <mergeCell ref="C6:F6"/>
    <mergeCell ref="E33:H33"/>
    <mergeCell ref="E34:G34"/>
    <mergeCell ref="E35:G35"/>
    <mergeCell ref="E36:G36"/>
    <mergeCell ref="E37:G37"/>
  </mergeCells>
  <conditionalFormatting sqref="B17:B19">
    <cfRule type="expression" dxfId="29" priority="6">
      <formula>#REF!="Nee"</formula>
    </cfRule>
  </conditionalFormatting>
  <conditionalFormatting sqref="B15:C15 E15:H15 H17:H19">
    <cfRule type="expression" dxfId="28" priority="9">
      <formula>#REF!="Nee"</formula>
    </cfRule>
  </conditionalFormatting>
  <conditionalFormatting sqref="B13:H13">
    <cfRule type="expression" dxfId="27" priority="5">
      <formula>#REF!="nee"</formula>
    </cfRule>
  </conditionalFormatting>
  <conditionalFormatting sqref="B23:H26">
    <cfRule type="expression" dxfId="26" priority="7">
      <formula>#REF!="nee"</formula>
    </cfRule>
  </conditionalFormatting>
  <conditionalFormatting sqref="D15">
    <cfRule type="expression" dxfId="25" priority="3">
      <formula>#REF!="nee"</formula>
    </cfRule>
  </conditionalFormatting>
  <conditionalFormatting sqref="F15:G15 C17:H19">
    <cfRule type="expression" dxfId="24" priority="8">
      <formula>#REF!="nee"</formula>
    </cfRule>
  </conditionalFormatting>
  <conditionalFormatting sqref="G22:H22">
    <cfRule type="expression" dxfId="23" priority="1">
      <formula>#REF!="nee"</formula>
    </cfRule>
  </conditionalFormatting>
  <conditionalFormatting sqref="H13">
    <cfRule type="expression" dxfId="22" priority="4">
      <formula>#REF!="Nee"</formula>
    </cfRule>
  </conditionalFormatting>
  <conditionalFormatting sqref="H22:H26">
    <cfRule type="expression" dxfId="21" priority="2">
      <formula>#REF!="Nee"</formula>
    </cfRule>
  </conditionalFormatting>
  <pageMargins left="0.7" right="0.7" top="0.75" bottom="0.75" header="0.3" footer="0.3"/>
  <pageSetup paperSize="9" orientation="portrait" horizontalDpi="0" verticalDpi="0"/>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CD58-D64D-124E-A9F0-EEC1FE619F45}">
  <dimension ref="D11:O46"/>
  <sheetViews>
    <sheetView view="pageBreakPreview" zoomScale="120" zoomScaleNormal="85" zoomScaleSheetLayoutView="120" workbookViewId="0">
      <selection activeCell="O21" sqref="O21"/>
    </sheetView>
  </sheetViews>
  <sheetFormatPr baseColWidth="10" defaultColWidth="12.5" defaultRowHeight="16" x14ac:dyDescent="0.2"/>
  <cols>
    <col min="1" max="17" width="12.5" style="275"/>
    <col min="18" max="18" width="12.5" style="275" customWidth="1"/>
    <col min="19" max="16384" width="12.5" style="275"/>
  </cols>
  <sheetData>
    <row r="11" spans="10:13" x14ac:dyDescent="0.2">
      <c r="J11" s="274"/>
    </row>
    <row r="16" spans="10:13" x14ac:dyDescent="0.2">
      <c r="M16" s="274"/>
    </row>
    <row r="23" spans="5:15" x14ac:dyDescent="0.2">
      <c r="O23" s="274"/>
    </row>
    <row r="24" spans="5:15" x14ac:dyDescent="0.2">
      <c r="E24" s="274"/>
    </row>
    <row r="27" spans="5:15" x14ac:dyDescent="0.2">
      <c r="E27" s="274"/>
    </row>
    <row r="33" spans="4:15" x14ac:dyDescent="0.2">
      <c r="I33"/>
    </row>
    <row r="34" spans="4:15" x14ac:dyDescent="0.2">
      <c r="H34" s="274"/>
    </row>
    <row r="44" spans="4:15" x14ac:dyDescent="0.2">
      <c r="O44"/>
    </row>
    <row r="46" spans="4:15" x14ac:dyDescent="0.2">
      <c r="D46" s="274"/>
    </row>
  </sheetData>
  <sheetProtection algorithmName="SHA-512" hashValue="HxCHnpXxnQIaec5w8aedsmItQVy/+551znNryLJQc3ith0c82Z83CjNmd3dJxIKcuJkUqDyJUVsCSVFRRFLWvA==" saltValue="3pwexTd4oM+DcoNVbwiqQA==" spinCount="100000" sheet="1" objects="1" scenarios="1"/>
  <pageMargins left="0" right="0" top="0" bottom="0" header="0.31496062992125984" footer="0.31496062992125984"/>
  <pageSetup paperSize="8" scale="88" orientation="landscape"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89"/>
  <sheetViews>
    <sheetView zoomScale="130" zoomScaleNormal="130" workbookViewId="0">
      <selection activeCell="O21" sqref="O21"/>
    </sheetView>
  </sheetViews>
  <sheetFormatPr baseColWidth="10" defaultColWidth="8.83203125" defaultRowHeight="14" x14ac:dyDescent="0.2"/>
  <cols>
    <col min="1" max="1" width="40.33203125" style="15" bestFit="1" customWidth="1"/>
    <col min="2" max="2" width="17.83203125" style="15" customWidth="1"/>
    <col min="3" max="12" width="10.1640625" style="15" hidden="1" customWidth="1"/>
    <col min="13" max="13" width="16.1640625" style="15" bestFit="1" customWidth="1"/>
    <col min="14" max="14" width="10" style="15" hidden="1" customWidth="1"/>
    <col min="15" max="15" width="13.33203125" style="15" customWidth="1"/>
    <col min="16" max="16" width="13.33203125" style="15" hidden="1" customWidth="1"/>
    <col min="17" max="22" width="13.33203125" style="15" customWidth="1"/>
    <col min="23" max="26" width="10.5" style="15" customWidth="1"/>
    <col min="27" max="28" width="17" style="15" customWidth="1"/>
    <col min="29" max="29" width="20" style="15" customWidth="1"/>
    <col min="30" max="16384" width="8.83203125" style="15"/>
  </cols>
  <sheetData>
    <row r="1" spans="1:29" ht="21" x14ac:dyDescent="0.2">
      <c r="A1" s="87" t="s">
        <v>105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19" x14ac:dyDescent="0.2">
      <c r="A2" s="7"/>
    </row>
    <row r="3" spans="1:29" ht="19" x14ac:dyDescent="0.2">
      <c r="A3" s="7" t="s">
        <v>68</v>
      </c>
      <c r="B3" s="86" t="s">
        <v>257</v>
      </c>
      <c r="C3" s="86"/>
      <c r="D3" s="86"/>
      <c r="E3" s="86"/>
      <c r="F3" s="86"/>
      <c r="G3" s="86"/>
      <c r="H3" s="86"/>
      <c r="I3" s="86"/>
    </row>
    <row r="4" spans="1:29" ht="19" x14ac:dyDescent="0.2">
      <c r="A4" s="7" t="s">
        <v>69</v>
      </c>
      <c r="B4" s="322">
        <f>'3.A.1 Emissie inventaris'!B14</f>
        <v>4081360</v>
      </c>
      <c r="C4" s="322"/>
      <c r="D4" s="322"/>
      <c r="E4" s="322"/>
      <c r="F4" s="86"/>
      <c r="G4" s="86"/>
      <c r="H4" s="86"/>
      <c r="I4" s="86"/>
    </row>
    <row r="5" spans="1:29" ht="19" x14ac:dyDescent="0.2">
      <c r="A5" s="7" t="s">
        <v>15</v>
      </c>
      <c r="B5" s="86" t="s">
        <v>287</v>
      </c>
      <c r="C5" s="86"/>
      <c r="D5" s="86"/>
      <c r="E5" s="86"/>
      <c r="F5" s="86"/>
      <c r="G5" s="86"/>
      <c r="H5" s="86"/>
      <c r="I5" s="86"/>
    </row>
    <row r="6" spans="1:29" ht="19" x14ac:dyDescent="0.2">
      <c r="A6" s="7" t="s">
        <v>16</v>
      </c>
      <c r="B6" s="86" t="s">
        <v>308</v>
      </c>
      <c r="C6" s="86"/>
      <c r="D6" s="86"/>
      <c r="E6" s="86"/>
      <c r="F6" s="86"/>
      <c r="G6" s="86"/>
      <c r="H6" s="86"/>
      <c r="I6" s="86"/>
    </row>
    <row r="7" spans="1:29" ht="19" x14ac:dyDescent="0.2">
      <c r="A7" s="7" t="s">
        <v>70</v>
      </c>
      <c r="B7" s="86" t="s">
        <v>100</v>
      </c>
      <c r="C7" s="86"/>
      <c r="D7" s="86"/>
      <c r="E7" s="86"/>
      <c r="F7" s="86"/>
      <c r="G7" s="86"/>
      <c r="H7" s="86"/>
      <c r="I7" s="86"/>
    </row>
    <row r="8" spans="1:29" ht="19" x14ac:dyDescent="0.2">
      <c r="A8" s="7" t="s">
        <v>12</v>
      </c>
      <c r="B8" s="272">
        <v>45750</v>
      </c>
      <c r="C8" s="86"/>
      <c r="D8" s="86"/>
      <c r="E8" s="86"/>
      <c r="F8" s="86"/>
      <c r="G8" s="86"/>
      <c r="H8" s="86"/>
      <c r="I8" s="86"/>
    </row>
    <row r="9" spans="1:29" ht="19" x14ac:dyDescent="0.2">
      <c r="A9" s="7"/>
      <c r="C9" s="326" t="s">
        <v>103</v>
      </c>
      <c r="D9" s="326"/>
      <c r="E9" s="326"/>
      <c r="F9" s="326"/>
      <c r="G9" s="326"/>
      <c r="H9" s="326"/>
      <c r="I9" s="326"/>
      <c r="J9" s="326"/>
      <c r="K9" s="326"/>
      <c r="L9" s="142"/>
      <c r="M9" s="142"/>
      <c r="N9" s="142"/>
      <c r="O9" s="142"/>
      <c r="P9" s="142"/>
      <c r="Q9" s="142"/>
      <c r="R9" s="142"/>
      <c r="S9" s="142"/>
      <c r="T9" s="142"/>
      <c r="U9" s="142"/>
      <c r="V9" s="142"/>
      <c r="W9" s="326" t="s">
        <v>240</v>
      </c>
      <c r="X9" s="326"/>
      <c r="Y9" s="326"/>
      <c r="Z9" s="326"/>
      <c r="AA9" s="326" t="s">
        <v>104</v>
      </c>
      <c r="AB9" s="326"/>
      <c r="AC9" s="142"/>
    </row>
    <row r="10" spans="1:29" s="21" customFormat="1" ht="21.5" customHeight="1" x14ac:dyDescent="0.2">
      <c r="A10" s="22" t="s">
        <v>21</v>
      </c>
      <c r="B10" s="22" t="s">
        <v>48</v>
      </c>
      <c r="C10" s="52">
        <v>2012</v>
      </c>
      <c r="D10" s="52" t="s">
        <v>223</v>
      </c>
      <c r="E10" s="52">
        <v>2013</v>
      </c>
      <c r="F10" s="52" t="s">
        <v>166</v>
      </c>
      <c r="G10" s="52">
        <v>2014</v>
      </c>
      <c r="H10" s="52" t="s">
        <v>101</v>
      </c>
      <c r="I10" s="52">
        <v>2015</v>
      </c>
      <c r="J10" s="52" t="s">
        <v>102</v>
      </c>
      <c r="K10" s="52">
        <v>2016</v>
      </c>
      <c r="L10" s="52" t="s">
        <v>243</v>
      </c>
      <c r="M10" s="52">
        <v>2017</v>
      </c>
      <c r="N10" s="52" t="s">
        <v>253</v>
      </c>
      <c r="O10" s="52">
        <v>2018</v>
      </c>
      <c r="P10" s="52" t="s">
        <v>271</v>
      </c>
      <c r="Q10" s="52">
        <v>2019</v>
      </c>
      <c r="R10" s="52">
        <v>2020</v>
      </c>
      <c r="S10" s="52">
        <v>2021</v>
      </c>
      <c r="T10" s="52">
        <v>2022</v>
      </c>
      <c r="U10" s="52">
        <v>2023</v>
      </c>
      <c r="V10" s="52">
        <v>2024</v>
      </c>
      <c r="W10" s="61" t="s">
        <v>350</v>
      </c>
      <c r="X10" s="61" t="s">
        <v>239</v>
      </c>
      <c r="Y10" s="61"/>
      <c r="Z10" s="61"/>
      <c r="AA10" s="52">
        <v>2015</v>
      </c>
      <c r="AB10" s="52">
        <v>2016</v>
      </c>
    </row>
    <row r="11" spans="1:29" ht="15" x14ac:dyDescent="0.2">
      <c r="A11" s="24" t="s">
        <v>159</v>
      </c>
      <c r="B11" s="25"/>
      <c r="C11" s="25"/>
      <c r="D11" s="25"/>
      <c r="E11" s="25"/>
      <c r="F11" s="25"/>
      <c r="G11" s="53"/>
      <c r="H11" s="53"/>
      <c r="I11" s="53"/>
      <c r="J11" s="53"/>
      <c r="K11" s="53"/>
      <c r="L11" s="53"/>
      <c r="M11" s="53"/>
      <c r="N11" s="53"/>
      <c r="O11" s="53"/>
      <c r="P11" s="53"/>
      <c r="Q11" s="53"/>
      <c r="R11" s="53"/>
      <c r="S11" s="53"/>
      <c r="T11" s="53"/>
      <c r="U11" s="53"/>
      <c r="V11" s="53"/>
      <c r="W11" s="53"/>
      <c r="X11" s="53"/>
      <c r="Y11" s="53"/>
      <c r="Z11" s="53"/>
      <c r="AA11" s="55"/>
      <c r="AB11" s="25"/>
    </row>
    <row r="12" spans="1:29" ht="16" x14ac:dyDescent="0.2">
      <c r="A12" s="3" t="s">
        <v>160</v>
      </c>
      <c r="B12" s="9">
        <v>1</v>
      </c>
      <c r="C12" s="132">
        <f>'Footprint 2012'!G11</f>
        <v>328.58790000000005</v>
      </c>
      <c r="D12" s="132">
        <f>'Footprint 2013-H1'!G11</f>
        <v>156.12851000000001</v>
      </c>
      <c r="E12" s="132">
        <f>'Footprint 2013'!G11</f>
        <v>351.72648949999996</v>
      </c>
      <c r="F12" s="132">
        <f>'Footprint 2014-H1'!G11</f>
        <v>145.47920000000002</v>
      </c>
      <c r="G12" s="30">
        <f>'Footprint 2014'!G11</f>
        <v>339.02402999999998</v>
      </c>
      <c r="H12" s="30">
        <f>'Footprint 2015-H1'!G11</f>
        <v>169.86893000000001</v>
      </c>
      <c r="I12" s="30">
        <f>'Footprint 2015'!G11</f>
        <v>372.83985432000026</v>
      </c>
      <c r="J12" s="30">
        <f>'Footprint 2016-H1'!G11</f>
        <v>181.57583890000004</v>
      </c>
      <c r="K12" s="30">
        <f>'Footprint 2016'!G11</f>
        <v>375.32765978999998</v>
      </c>
      <c r="L12" s="30">
        <f>'Footprint 2017- H1'!G11</f>
        <v>191.17439759999999</v>
      </c>
      <c r="M12" s="30">
        <f>'Footprint 2017'!G11</f>
        <v>414.29778333461542</v>
      </c>
      <c r="N12" s="30">
        <f>'Footprint 2018 H1'!G11</f>
        <v>198.8806285</v>
      </c>
      <c r="O12" s="30">
        <f>'Footprint 2018'!G11</f>
        <v>415.36106684999999</v>
      </c>
      <c r="P12" s="30">
        <f>'Footprint 2019 h1'!G11</f>
        <v>185.9219008</v>
      </c>
      <c r="Q12" s="30">
        <f>'Footprint 2019'!G14</f>
        <v>395.23503396000001</v>
      </c>
      <c r="R12" s="30">
        <f>'Footprint 2020'!G14</f>
        <v>414.83180200000004</v>
      </c>
      <c r="S12" s="30">
        <f>'Footprint 2021'!G14</f>
        <v>414.08457565999998</v>
      </c>
      <c r="T12" s="30">
        <f>'Footprint 2022'!G15</f>
        <v>363.52380399999998</v>
      </c>
      <c r="U12" s="30">
        <f>'Footprint 2023'!G15</f>
        <v>390.64511199999998</v>
      </c>
      <c r="V12" s="30">
        <f>'Footprint 2024'!H15</f>
        <v>338.30471663999998</v>
      </c>
      <c r="W12" s="30">
        <f>V12-M12</f>
        <v>-75.993066694615436</v>
      </c>
      <c r="X12" s="62">
        <f>W12/M12</f>
        <v>-0.1834261966910844</v>
      </c>
      <c r="Y12" s="30"/>
      <c r="Z12" s="62"/>
      <c r="AA12" s="54"/>
      <c r="AB12" s="54"/>
    </row>
    <row r="13" spans="1:29" ht="16" x14ac:dyDescent="0.2">
      <c r="A13" s="266" t="s">
        <v>337</v>
      </c>
      <c r="B13" s="267">
        <v>3</v>
      </c>
      <c r="C13" s="268">
        <f>'Footprint 2012'!G21</f>
        <v>15.44</v>
      </c>
      <c r="D13" s="268"/>
      <c r="E13" s="268">
        <f>C13</f>
        <v>15.44</v>
      </c>
      <c r="F13" s="268"/>
      <c r="G13" s="269">
        <f>E13</f>
        <v>15.44</v>
      </c>
      <c r="H13" s="269"/>
      <c r="I13" s="269">
        <f>G13</f>
        <v>15.44</v>
      </c>
      <c r="J13" s="269"/>
      <c r="K13" s="269">
        <f>I13</f>
        <v>15.44</v>
      </c>
      <c r="L13" s="269"/>
      <c r="M13" s="269">
        <f>K13</f>
        <v>15.44</v>
      </c>
      <c r="N13" s="269"/>
      <c r="O13" s="269">
        <f>M13</f>
        <v>15.44</v>
      </c>
      <c r="P13" s="269"/>
      <c r="Q13" s="269">
        <f>O13</f>
        <v>15.44</v>
      </c>
      <c r="R13" s="269">
        <f>Q13</f>
        <v>15.44</v>
      </c>
      <c r="S13" s="269">
        <f>R13</f>
        <v>15.44</v>
      </c>
      <c r="T13" s="269">
        <f>S13</f>
        <v>15.44</v>
      </c>
      <c r="U13" s="269">
        <f>'Footprint 2023'!G24</f>
        <v>13.220499999999999</v>
      </c>
      <c r="V13" s="269">
        <f>'Footprint 2024'!H25</f>
        <v>11.358629000000001</v>
      </c>
      <c r="W13" s="30">
        <f>V13-M13</f>
        <v>-4.081370999999999</v>
      </c>
      <c r="X13" s="62">
        <f>W13/M13</f>
        <v>-0.26433749999999995</v>
      </c>
      <c r="Y13" s="269"/>
      <c r="Z13" s="270"/>
      <c r="AA13" s="271"/>
      <c r="AB13" s="271"/>
    </row>
    <row r="14" spans="1:29" ht="15" x14ac:dyDescent="0.2">
      <c r="A14" s="24" t="s">
        <v>98</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55"/>
      <c r="AB14" s="25"/>
    </row>
    <row r="15" spans="1:29" ht="16" x14ac:dyDescent="0.2">
      <c r="A15" s="3" t="s">
        <v>161</v>
      </c>
      <c r="B15" s="14">
        <v>1</v>
      </c>
      <c r="C15" s="132">
        <f>'Footprint 2012'!G13</f>
        <v>3.8088540000000002</v>
      </c>
      <c r="D15" s="132">
        <f>'Footprint 2013-H1'!G13</f>
        <v>1.6308179999999999</v>
      </c>
      <c r="E15" s="132">
        <f>'Footprint 2013'!G13</f>
        <v>5.4992700000000001</v>
      </c>
      <c r="F15" s="132">
        <f>'Footprint 2014-H1'!G13</f>
        <v>0.75851999999999997</v>
      </c>
      <c r="G15" s="30">
        <f>'Footprint 2014'!G13</f>
        <v>1.1757060000000001</v>
      </c>
      <c r="H15" s="30">
        <f>'Footprint 2015-H1'!G13</f>
        <v>0.49303800000000003</v>
      </c>
      <c r="I15" s="30">
        <f>'Footprint 2015'!G13</f>
        <v>0.94395000000000007</v>
      </c>
      <c r="J15" s="30">
        <f>'Footprint 2016-H1'!G13</f>
        <v>0.98607600000000006</v>
      </c>
      <c r="K15" s="30">
        <f>'Footprint 2016'!G13</f>
        <v>1.7368679999999999</v>
      </c>
      <c r="L15" s="30">
        <f>'Footprint 2017- H1'!G13</f>
        <v>0.34133400000000003</v>
      </c>
      <c r="M15" s="30">
        <f>'Footprint 2017'!G13</f>
        <v>0.75515999999999994</v>
      </c>
      <c r="N15" s="30">
        <f>'Footprint 2018 H1'!G13</f>
        <v>0.37925999999999999</v>
      </c>
      <c r="O15" s="30">
        <f>'Footprint 2018'!G13</f>
        <v>0.86843399999999993</v>
      </c>
      <c r="P15" s="30">
        <f>'Footprint 2019 h1'!G13</f>
        <v>0.30340800000000001</v>
      </c>
      <c r="Q15" s="30">
        <f>'Footprint 2019'!G16</f>
        <v>0.79291800000000001</v>
      </c>
      <c r="R15" s="30">
        <f>'Footprint 2020'!G16</f>
        <v>1.170498</v>
      </c>
      <c r="S15" s="30">
        <f>'Footprint 2021'!G16</f>
        <v>0.65447199999999994</v>
      </c>
      <c r="T15" s="30">
        <f>'Footprint 2022'!G17</f>
        <v>0.53760200000000002</v>
      </c>
      <c r="U15" s="30">
        <f>'Footprint 2023'!G17</f>
        <v>0.46852000000000005</v>
      </c>
      <c r="V15" s="30">
        <f>'Footprint 2024'!H17</f>
        <v>0.32796399999999998</v>
      </c>
      <c r="W15" s="30">
        <f>V15-M15</f>
        <v>-0.42719599999999996</v>
      </c>
      <c r="X15" s="62">
        <f>W15/M15</f>
        <v>-0.56570263255469044</v>
      </c>
      <c r="Y15" s="62"/>
      <c r="Z15" s="62"/>
      <c r="AA15" s="54"/>
      <c r="AB15" s="54"/>
    </row>
    <row r="16" spans="1:29" ht="16" x14ac:dyDescent="0.2">
      <c r="A16" s="3" t="s">
        <v>168</v>
      </c>
      <c r="B16" s="14">
        <v>1</v>
      </c>
      <c r="C16" s="132">
        <f>'Footprint 2012'!G14</f>
        <v>0</v>
      </c>
      <c r="D16" s="132">
        <f>'Footprint 2013-H1'!G14</f>
        <v>0</v>
      </c>
      <c r="E16" s="132">
        <f>'Footprint 2013'!G14</f>
        <v>0.79695000000000005</v>
      </c>
      <c r="F16" s="132">
        <f>'Footprint 2014-H1'!G14</f>
        <v>0.25357499999999999</v>
      </c>
      <c r="G16" s="30">
        <f>'Footprint 2014'!G14</f>
        <v>0.79695000000000005</v>
      </c>
      <c r="H16" s="30">
        <f>'Footprint 2015-H1'!G14</f>
        <v>1.2316500000000001</v>
      </c>
      <c r="I16" s="30">
        <f>'Footprint 2015'!G14</f>
        <v>2.1372750000000003</v>
      </c>
      <c r="J16" s="30">
        <f>'Footprint 2016-H1'!G14</f>
        <v>0.43470000000000003</v>
      </c>
      <c r="K16" s="30">
        <f>'Footprint 2016'!G14</f>
        <v>0.90562500000000001</v>
      </c>
      <c r="L16" s="30">
        <f>'Footprint 2017- H1'!G14</f>
        <v>0.83317500000000011</v>
      </c>
      <c r="M16" s="30">
        <f>'Footprint 2017'!G14</f>
        <v>3.1153500000000003</v>
      </c>
      <c r="N16" s="30">
        <f>'Footprint 2018 H1'!G14</f>
        <v>1.3041</v>
      </c>
      <c r="O16" s="30">
        <f>'Footprint 2018'!G14</f>
        <v>2.0648250000000004</v>
      </c>
      <c r="P16" s="30">
        <f>'Footprint 2019 h1'!G14</f>
        <v>0.83317500000000011</v>
      </c>
      <c r="Q16" s="30">
        <f>'Footprint 2019'!G17</f>
        <v>1.8474750000000002</v>
      </c>
      <c r="R16" s="30">
        <f>'Footprint 2020'!G17</f>
        <v>2.8255500000000002</v>
      </c>
      <c r="S16" s="30">
        <f>'Footprint 2021'!G17</f>
        <v>3.5500500000000001</v>
      </c>
      <c r="T16" s="30">
        <f>'Footprint 2022'!G18</f>
        <v>2.4270750000000003</v>
      </c>
      <c r="U16" s="30">
        <f>'Footprint 2023'!G18</f>
        <v>1.7025749999999999</v>
      </c>
      <c r="V16" s="30">
        <f>'Footprint 2024'!H18</f>
        <v>2.2821750000000001</v>
      </c>
      <c r="W16" s="30">
        <f>V16-M16</f>
        <v>-0.83317500000000022</v>
      </c>
      <c r="X16" s="62">
        <f>W16/M16</f>
        <v>-0.26744186046511631</v>
      </c>
      <c r="Y16" s="62"/>
      <c r="Z16" s="62"/>
      <c r="AA16" s="54"/>
      <c r="AB16" s="54"/>
    </row>
    <row r="17" spans="1:28" ht="16" x14ac:dyDescent="0.2">
      <c r="A17" s="3" t="s">
        <v>89</v>
      </c>
      <c r="B17" s="14">
        <v>1</v>
      </c>
      <c r="C17" s="132">
        <f>'Footprint 2012'!G15</f>
        <v>9.7270000000000003</v>
      </c>
      <c r="D17" s="132">
        <f>'Footprint 2013-H1'!G15</f>
        <v>4.3127599999999999</v>
      </c>
      <c r="E17" s="132">
        <f>'Footprint 2013'!G15</f>
        <v>6.1550264000000006</v>
      </c>
      <c r="F17" s="132">
        <f>'Footprint 2014-H1'!G15</f>
        <v>8.0145000000000017</v>
      </c>
      <c r="G17" s="30">
        <f>'Footprint 2014'!G15</f>
        <v>14.12744</v>
      </c>
      <c r="H17" s="30">
        <f>'Footprint 2015-H1'!G15</f>
        <v>7.2938800000000006</v>
      </c>
      <c r="I17" s="30">
        <f>'Footprint 2015'!G15</f>
        <v>16.087644159999996</v>
      </c>
      <c r="J17" s="30">
        <f>'Footprint 2016-H1'!G15</f>
        <v>10.379503600000001</v>
      </c>
      <c r="K17" s="30">
        <f>'Footprint 2016'!G15</f>
        <v>19.721830239999999</v>
      </c>
      <c r="L17" s="30">
        <f>'Footprint 2017- H1'!G15</f>
        <v>5.8543662000000003</v>
      </c>
      <c r="M17" s="30">
        <f>'Footprint 2017'!G15</f>
        <v>16.268586319999997</v>
      </c>
      <c r="N17" s="30">
        <f>'Footprint 2018 H1'!G15</f>
        <v>6.4750584</v>
      </c>
      <c r="O17" s="30">
        <f>'Footprint 2018'!G15</f>
        <v>14.311792319999999</v>
      </c>
      <c r="P17" s="30">
        <f>'Footprint 2019 h1'!G15</f>
        <v>4.8215178999999999</v>
      </c>
      <c r="Q17" s="30">
        <f>'Footprint 2019'!G18</f>
        <v>9.9737372000000004</v>
      </c>
      <c r="R17" s="30">
        <f>'Footprint 2020'!G18</f>
        <v>9.4542134400000002</v>
      </c>
      <c r="S17" s="30">
        <f>'Footprint 2021'!G18</f>
        <v>6.8774543999999995</v>
      </c>
      <c r="T17" s="30">
        <f>'Footprint 2022'!G19</f>
        <v>6.1637759999999995</v>
      </c>
      <c r="U17" s="30">
        <f>'Footprint 2023'!G19</f>
        <v>7.3949694000000008</v>
      </c>
      <c r="V17" s="30">
        <f>'Footprint 2024'!H19</f>
        <v>5.5805586200000006</v>
      </c>
      <c r="W17" s="30">
        <f>V17-M17</f>
        <v>-10.688027699999996</v>
      </c>
      <c r="X17" s="62">
        <f>W17/M17</f>
        <v>-0.65697335280205205</v>
      </c>
      <c r="Y17" s="62"/>
      <c r="Z17" s="62"/>
      <c r="AA17" s="54"/>
      <c r="AB17" s="54"/>
    </row>
    <row r="18" spans="1:28" ht="15" x14ac:dyDescent="0.2">
      <c r="A18" s="294" t="s">
        <v>83</v>
      </c>
      <c r="B18" s="295"/>
      <c r="C18" s="295"/>
      <c r="D18" s="295"/>
      <c r="E18" s="295"/>
      <c r="F18" s="295"/>
      <c r="G18" s="295"/>
      <c r="H18" s="295"/>
      <c r="I18" s="295"/>
      <c r="J18" s="295"/>
      <c r="K18" s="295"/>
      <c r="L18" s="295"/>
      <c r="M18" s="295"/>
      <c r="N18" s="295"/>
      <c r="O18" s="295"/>
      <c r="P18" s="295"/>
      <c r="Q18" s="295"/>
      <c r="R18" s="295"/>
      <c r="S18" s="295"/>
      <c r="T18" s="295"/>
      <c r="U18" s="295"/>
      <c r="V18" s="295"/>
      <c r="W18" s="25"/>
      <c r="X18" s="25"/>
      <c r="Y18" s="25"/>
      <c r="Z18" s="25"/>
      <c r="AA18" s="55"/>
      <c r="AB18" s="25"/>
    </row>
    <row r="19" spans="1:28" ht="15" x14ac:dyDescent="0.2">
      <c r="A19" s="299" t="s">
        <v>352</v>
      </c>
      <c r="B19" s="299">
        <v>2</v>
      </c>
      <c r="C19" s="299"/>
      <c r="D19" s="299"/>
      <c r="E19" s="299"/>
      <c r="F19" s="299"/>
      <c r="G19" s="299"/>
      <c r="H19" s="299"/>
      <c r="I19" s="299"/>
      <c r="J19" s="299"/>
      <c r="K19" s="299"/>
      <c r="L19" s="299"/>
      <c r="M19" s="299">
        <v>0</v>
      </c>
      <c r="N19" s="299"/>
      <c r="O19" s="299">
        <v>0</v>
      </c>
      <c r="P19" s="299"/>
      <c r="Q19" s="299">
        <v>0</v>
      </c>
      <c r="R19" s="299">
        <v>0</v>
      </c>
      <c r="S19" s="299">
        <v>0</v>
      </c>
      <c r="T19" s="299">
        <v>0</v>
      </c>
      <c r="U19" s="299">
        <v>0</v>
      </c>
      <c r="V19" s="300">
        <f>'Footprint 2024'!H22</f>
        <v>13.235709032000001</v>
      </c>
      <c r="W19" s="293">
        <f>V19-M19</f>
        <v>13.235709032000001</v>
      </c>
      <c r="X19" s="62" t="e">
        <f>W19/M19</f>
        <v>#DIV/0!</v>
      </c>
      <c r="Y19" s="267"/>
      <c r="Z19" s="267"/>
      <c r="AA19" s="292"/>
      <c r="AB19" s="267"/>
    </row>
    <row r="20" spans="1:28" ht="16" x14ac:dyDescent="0.2">
      <c r="A20" s="296" t="s">
        <v>290</v>
      </c>
      <c r="B20" s="13">
        <v>2</v>
      </c>
      <c r="C20" s="297">
        <f>'Footprint 2012'!G17</f>
        <v>20.774896000000002</v>
      </c>
      <c r="D20" s="297">
        <f>'Footprint 2013-H1'!G17</f>
        <v>12.137976</v>
      </c>
      <c r="E20" s="297">
        <f>'Footprint 2013'!G17</f>
        <v>22.724778000000001</v>
      </c>
      <c r="F20" s="297">
        <f>'Footprint 2014-H1'!G17</f>
        <v>0</v>
      </c>
      <c r="G20" s="298">
        <f>'Footprint 2014'!G17</f>
        <v>0</v>
      </c>
      <c r="H20" s="298">
        <f>'Footprint 2015-H1'!G17</f>
        <v>0</v>
      </c>
      <c r="I20" s="298">
        <f>'Footprint 2015'!G17</f>
        <v>0</v>
      </c>
      <c r="J20" s="298">
        <f>'Footprint 2016-H1'!G17</f>
        <v>0</v>
      </c>
      <c r="K20" s="298">
        <f>'Footprint 2016'!G17</f>
        <v>0</v>
      </c>
      <c r="L20" s="298">
        <f>'Footprint 2017- H1'!G17</f>
        <v>7.9620174923076927</v>
      </c>
      <c r="M20" s="298">
        <f>'Footprint 2017'!G17</f>
        <v>15.397399560723514</v>
      </c>
      <c r="N20" s="298">
        <f>'Footprint 2018 H1'!G17</f>
        <v>10.3580928</v>
      </c>
      <c r="O20" s="298">
        <f>'Footprint 2018'!G17</f>
        <v>21.039269166666667</v>
      </c>
      <c r="P20" s="298">
        <f>'Footprint 2019 h1'!G17</f>
        <v>9.1174016153846154</v>
      </c>
      <c r="Q20" s="298">
        <f>'Footprint 2019'!G21</f>
        <v>17.287831831395348</v>
      </c>
      <c r="R20" s="298">
        <f>'Footprint 2020'!G21</f>
        <v>15.643774857142859</v>
      </c>
      <c r="S20" s="298">
        <f>'Footprint 2021'!G21</f>
        <v>14.193568000000001</v>
      </c>
      <c r="T20" s="298">
        <f>'Footprint 2022'!G22</f>
        <v>0</v>
      </c>
      <c r="U20" s="298">
        <f>'Footprint 2023'!G22</f>
        <v>0</v>
      </c>
      <c r="V20" s="298">
        <f>'Footprint 2024'!H23</f>
        <v>0</v>
      </c>
      <c r="W20" s="30">
        <f>V20-M20</f>
        <v>-15.397399560723514</v>
      </c>
      <c r="X20" s="62">
        <f>W20/M20</f>
        <v>-1</v>
      </c>
      <c r="Y20" s="30"/>
      <c r="Z20" s="62"/>
      <c r="AA20" s="54"/>
      <c r="AB20" s="54"/>
    </row>
    <row r="21" spans="1:28" ht="15" x14ac:dyDescent="0.2">
      <c r="A21" s="24" t="s">
        <v>84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55"/>
      <c r="AB21" s="49"/>
    </row>
    <row r="22" spans="1:28" ht="16" x14ac:dyDescent="0.2">
      <c r="A22" s="3" t="s">
        <v>163</v>
      </c>
      <c r="B22" s="13">
        <v>1</v>
      </c>
      <c r="C22" s="132">
        <f>'Footprint 2012'!G19</f>
        <v>22.206707999999999</v>
      </c>
      <c r="D22" s="132">
        <f>'Footprint 2013-H1'!G19</f>
        <v>12.219624</v>
      </c>
      <c r="E22" s="132">
        <f>'Footprint 2013'!G19</f>
        <v>23.124216000000001</v>
      </c>
      <c r="F22" s="132">
        <f>'Footprint 2014-H1'!G19</f>
        <v>14.399411999999998</v>
      </c>
      <c r="G22" s="30">
        <f>'Footprint 2014'!G19</f>
        <v>25.597908</v>
      </c>
      <c r="H22" s="30">
        <f>'Footprint 2015-H1'!G19</f>
        <v>18.622803000000001</v>
      </c>
      <c r="I22" s="30">
        <f>'Footprint 2015'!G19</f>
        <v>29.256636</v>
      </c>
      <c r="J22" s="30">
        <f>'Footprint 2016-H1'!G19</f>
        <v>19.809306666666668</v>
      </c>
      <c r="K22" s="30">
        <f>'Footprint 2016'!G19</f>
        <v>35.8902</v>
      </c>
      <c r="L22" s="30">
        <f>'Footprint 2017- H1'!G19</f>
        <v>16.568767211538464</v>
      </c>
      <c r="M22" s="30">
        <f>'Footprint 2017'!G19</f>
        <v>38.93641744186047</v>
      </c>
      <c r="N22" s="30">
        <f>'Footprint 2018 H1'!G19</f>
        <v>15.5255859632107</v>
      </c>
      <c r="O22" s="30">
        <f>'Footprint 2018'!G19</f>
        <v>31.021813983050844</v>
      </c>
      <c r="P22" s="30">
        <f>'Footprint 2019 h1'!G19</f>
        <v>12.098875384615384</v>
      </c>
      <c r="Q22" s="30">
        <f>'Footprint 2019'!G12</f>
        <v>39.068189999999994</v>
      </c>
      <c r="R22" s="30">
        <f>'Footprint 2020'!G12</f>
        <v>9.647964</v>
      </c>
      <c r="S22" s="30">
        <f>'Footprint 2021'!G12</f>
        <v>23.236778440111419</v>
      </c>
      <c r="T22" s="30">
        <f>'Footprint 2022'!G13</f>
        <v>13.298129999999999</v>
      </c>
      <c r="U22" s="30">
        <f>'Footprint 2023'!G13</f>
        <v>14.120568</v>
      </c>
      <c r="V22" s="30">
        <f>'Footprint 2024'!H13</f>
        <v>15.769215000000003</v>
      </c>
      <c r="W22" s="30">
        <f>V22-M22</f>
        <v>-23.167202441860468</v>
      </c>
      <c r="X22" s="62">
        <f>W22/M22</f>
        <v>-0.59500087486100994</v>
      </c>
      <c r="Y22" s="30"/>
      <c r="Z22" s="62"/>
      <c r="AA22" s="54"/>
      <c r="AB22" s="54"/>
    </row>
    <row r="23" spans="1:28" ht="21" x14ac:dyDescent="0.2">
      <c r="A23" s="33" t="s">
        <v>13</v>
      </c>
      <c r="B23" s="31"/>
      <c r="C23" s="32">
        <f t="shared" ref="C23:F23" si="0">SUM(C12:C22)</f>
        <v>400.54535800000002</v>
      </c>
      <c r="D23" s="32">
        <f t="shared" si="0"/>
        <v>186.42968800000003</v>
      </c>
      <c r="E23" s="32">
        <f t="shared" si="0"/>
        <v>425.46672989999996</v>
      </c>
      <c r="F23" s="32">
        <f t="shared" si="0"/>
        <v>168.90520700000002</v>
      </c>
      <c r="G23" s="32">
        <f>SUM(G12:G22)</f>
        <v>396.16203399999995</v>
      </c>
      <c r="H23" s="32">
        <f>SUM(H12:H22)</f>
        <v>197.51030100000003</v>
      </c>
      <c r="I23" s="32">
        <f>SUM(I12:I22)</f>
        <v>436.70535948000025</v>
      </c>
      <c r="J23" s="32">
        <f>SUM(J12:J22)</f>
        <v>213.18542516666668</v>
      </c>
      <c r="K23" s="32">
        <f>SUM(K12:K22)</f>
        <v>449.02218302999995</v>
      </c>
      <c r="L23" s="32">
        <f>'Footprint 2017- H1'!G20</f>
        <v>222.73405750384615</v>
      </c>
      <c r="M23" s="32">
        <f>M12+M15+M16+M17+M20+M22</f>
        <v>488.77069665719932</v>
      </c>
      <c r="N23" s="32">
        <f>N12+N15+N16+N17+N20+N22</f>
        <v>232.92272566321068</v>
      </c>
      <c r="O23" s="32">
        <f>O12+O15+O16+O17+O20+O22</f>
        <v>484.66720131971744</v>
      </c>
      <c r="P23" s="32">
        <f>P12+P15+P16+P17+P20+P22</f>
        <v>213.0962787</v>
      </c>
      <c r="Q23" s="32">
        <f>Q12+Q15+Q16+Q17+Q20+Q22</f>
        <v>464.20518599139535</v>
      </c>
      <c r="R23" s="32">
        <f>SUM(R12:R22)</f>
        <v>469.01380229714289</v>
      </c>
      <c r="S23" s="32">
        <f>SUM(S12:S22)</f>
        <v>478.03689850011142</v>
      </c>
      <c r="T23" s="32">
        <f>SUM(T12:T22)</f>
        <v>401.39038699999998</v>
      </c>
      <c r="U23" s="32">
        <f>SUM(U12:U22)</f>
        <v>427.55224440000001</v>
      </c>
      <c r="V23" s="32">
        <f>SUM(V12:V22)</f>
        <v>386.85896729199999</v>
      </c>
      <c r="W23" s="30">
        <f>V23-M23</f>
        <v>-101.91172936519934</v>
      </c>
      <c r="X23" s="62">
        <f>W23/M23</f>
        <v>-0.20850621786902132</v>
      </c>
      <c r="Y23" s="30"/>
      <c r="Z23" s="62"/>
      <c r="AA23" s="39"/>
      <c r="AB23" s="39">
        <f>SUM(AB12:AB22)</f>
        <v>0</v>
      </c>
    </row>
    <row r="25" spans="1:28" ht="15" x14ac:dyDescent="0.2">
      <c r="A25" s="24" t="s">
        <v>224</v>
      </c>
      <c r="B25" s="25"/>
      <c r="C25" s="25"/>
      <c r="D25" s="25"/>
      <c r="E25" s="25"/>
      <c r="F25" s="25"/>
      <c r="G25" s="25"/>
      <c r="H25" s="25"/>
      <c r="I25" s="25"/>
      <c r="J25" s="25"/>
      <c r="K25" s="25"/>
      <c r="L25" s="25"/>
      <c r="M25" s="25"/>
      <c r="N25" s="25"/>
      <c r="O25" s="25"/>
      <c r="P25" s="25"/>
      <c r="Q25" s="25"/>
      <c r="R25" s="25"/>
      <c r="S25" s="25"/>
      <c r="T25" s="25"/>
      <c r="U25" s="25"/>
      <c r="V25" s="25"/>
      <c r="W25" s="25"/>
      <c r="X25" s="25"/>
    </row>
    <row r="26" spans="1:28" ht="15" x14ac:dyDescent="0.2">
      <c r="A26" s="64" t="s">
        <v>226</v>
      </c>
      <c r="B26" s="63"/>
      <c r="C26" s="63"/>
      <c r="D26" s="63"/>
      <c r="E26" s="63"/>
      <c r="F26" s="63"/>
      <c r="G26" s="63"/>
      <c r="H26" s="63"/>
      <c r="I26" s="63"/>
      <c r="J26" s="63"/>
      <c r="K26" s="63"/>
      <c r="L26" s="145">
        <v>393430</v>
      </c>
      <c r="M26" s="133">
        <v>808131</v>
      </c>
      <c r="N26" s="133">
        <v>456847</v>
      </c>
      <c r="O26" s="133">
        <v>695466</v>
      </c>
      <c r="P26" s="133">
        <v>466706.76599999989</v>
      </c>
      <c r="Q26" s="133">
        <v>811315.12</v>
      </c>
      <c r="R26" s="133">
        <v>865908</v>
      </c>
      <c r="S26" s="133">
        <v>961156.946</v>
      </c>
      <c r="T26" s="133">
        <f>22757+45770+35955+20+29975+30523+37281+52007+33359+43297+48110+40399+41743+22910+17097+42574+43228+30354+36632+24635+27035+38593+33903+50426+22942+42477</f>
        <v>894002</v>
      </c>
      <c r="U26" s="133">
        <f>865607+'Footprint 2023'!C24</f>
        <v>934107</v>
      </c>
      <c r="V26" s="133">
        <f>844294+'Footprint 2024'!D25</f>
        <v>903147</v>
      </c>
      <c r="W26" s="30">
        <f>V26-M26</f>
        <v>95016</v>
      </c>
      <c r="X26" s="62">
        <f>W26/M26</f>
        <v>0.1175749971229912</v>
      </c>
    </row>
    <row r="27" spans="1:28" ht="15" hidden="1" x14ac:dyDescent="0.2">
      <c r="A27" s="64" t="s">
        <v>230</v>
      </c>
      <c r="B27" s="63"/>
      <c r="C27" s="63">
        <v>5.0999999999999996</v>
      </c>
      <c r="D27" s="63"/>
      <c r="E27" s="63">
        <v>5.6</v>
      </c>
      <c r="F27" s="63"/>
      <c r="G27" s="63">
        <v>5.2</v>
      </c>
      <c r="H27" s="63"/>
      <c r="I27" s="63">
        <v>6.6</v>
      </c>
      <c r="J27" s="141">
        <f>K27/2</f>
        <v>2.8133914999999998</v>
      </c>
      <c r="K27" s="141">
        <v>5.6267829999999996</v>
      </c>
      <c r="L27" s="141"/>
      <c r="M27" s="141"/>
      <c r="N27" s="141"/>
      <c r="O27" s="133">
        <f>N27*2</f>
        <v>0</v>
      </c>
      <c r="P27" s="133"/>
      <c r="Q27" s="133"/>
      <c r="R27" s="133"/>
      <c r="S27" s="133"/>
      <c r="T27" s="133"/>
      <c r="U27" s="133"/>
      <c r="V27" s="133"/>
      <c r="W27" s="30">
        <f>Q27-M27</f>
        <v>0</v>
      </c>
      <c r="X27" s="62" t="e">
        <f>W27/M27</f>
        <v>#DIV/0!</v>
      </c>
    </row>
    <row r="28" spans="1:28" ht="15" x14ac:dyDescent="0.2">
      <c r="A28" s="64" t="s">
        <v>225</v>
      </c>
      <c r="B28" s="63"/>
      <c r="C28" s="63">
        <v>8.6</v>
      </c>
      <c r="D28" s="63"/>
      <c r="E28" s="63">
        <v>9</v>
      </c>
      <c r="F28" s="63"/>
      <c r="G28" s="63">
        <v>10.6</v>
      </c>
      <c r="H28" s="63"/>
      <c r="I28" s="63">
        <v>10.6</v>
      </c>
      <c r="J28" s="63">
        <v>9.6</v>
      </c>
      <c r="K28" s="63">
        <v>11.1</v>
      </c>
      <c r="L28" s="63">
        <v>9</v>
      </c>
      <c r="M28" s="63">
        <v>8.6</v>
      </c>
      <c r="N28" s="63">
        <v>4.3</v>
      </c>
      <c r="O28" s="162">
        <v>7.5</v>
      </c>
      <c r="P28" s="162">
        <v>8.6</v>
      </c>
      <c r="Q28" s="162">
        <v>8.5</v>
      </c>
      <c r="R28" s="162">
        <v>8.5</v>
      </c>
      <c r="S28" s="162">
        <v>8</v>
      </c>
      <c r="T28" s="162">
        <v>7.2</v>
      </c>
      <c r="U28" s="162">
        <v>8.1999999999999993</v>
      </c>
      <c r="V28" s="162">
        <v>8.1999999999999993</v>
      </c>
      <c r="W28" s="30">
        <f>V28-M28</f>
        <v>-0.40000000000000036</v>
      </c>
      <c r="X28" s="62">
        <f>W28/M28</f>
        <v>-4.6511627906976785E-2</v>
      </c>
    </row>
    <row r="29" spans="1:28" ht="15" x14ac:dyDescent="0.2">
      <c r="A29" s="64" t="s">
        <v>349</v>
      </c>
      <c r="B29" s="63"/>
      <c r="C29" s="133">
        <v>3121</v>
      </c>
      <c r="D29" s="133"/>
      <c r="E29" s="133">
        <v>3278</v>
      </c>
      <c r="F29" s="133"/>
      <c r="G29" s="133">
        <v>2624</v>
      </c>
      <c r="H29" s="133"/>
      <c r="I29" s="133">
        <v>2893</v>
      </c>
      <c r="J29" s="133">
        <v>1750</v>
      </c>
      <c r="K29" s="133">
        <v>3032</v>
      </c>
      <c r="L29" s="133">
        <v>1702</v>
      </c>
      <c r="M29" s="133">
        <v>2892</v>
      </c>
      <c r="N29" s="133">
        <v>1710</v>
      </c>
      <c r="O29" s="133">
        <v>2866.1</v>
      </c>
      <c r="P29" s="133">
        <v>1622.35</v>
      </c>
      <c r="Q29" s="133">
        <v>2845.22</v>
      </c>
      <c r="R29" s="133">
        <v>2711</v>
      </c>
      <c r="S29" s="133">
        <v>3014.8</v>
      </c>
      <c r="T29" s="133">
        <v>2705</v>
      </c>
      <c r="U29" s="133">
        <v>2642</v>
      </c>
      <c r="V29" s="133">
        <v>2603.8000000000002</v>
      </c>
      <c r="W29" s="30">
        <f>V29-M29</f>
        <v>-288.19999999999982</v>
      </c>
      <c r="X29" s="62">
        <f>W29/M29</f>
        <v>-9.9654218533886521E-2</v>
      </c>
    </row>
    <row r="30" spans="1:28" ht="15" x14ac:dyDescent="0.2">
      <c r="X30" s="62"/>
    </row>
    <row r="31" spans="1:28" ht="24" x14ac:dyDescent="0.2">
      <c r="A31" s="44" t="s">
        <v>97</v>
      </c>
      <c r="B31" s="42" t="str">
        <f>B10</f>
        <v>Scope</v>
      </c>
      <c r="C31" s="57">
        <f>C10</f>
        <v>2012</v>
      </c>
      <c r="D31" s="57" t="str">
        <f t="shared" ref="D31:J31" si="1">D10</f>
        <v>2013-H1</v>
      </c>
      <c r="E31" s="57">
        <f t="shared" si="1"/>
        <v>2013</v>
      </c>
      <c r="F31" s="57" t="str">
        <f t="shared" si="1"/>
        <v>2014-H1</v>
      </c>
      <c r="G31" s="57">
        <f t="shared" si="1"/>
        <v>2014</v>
      </c>
      <c r="H31" s="57" t="str">
        <f t="shared" si="1"/>
        <v>2015- H1</v>
      </c>
      <c r="I31" s="57">
        <f t="shared" si="1"/>
        <v>2015</v>
      </c>
      <c r="J31" s="57" t="str">
        <f t="shared" si="1"/>
        <v>2016-H1</v>
      </c>
      <c r="K31" s="57">
        <v>2016</v>
      </c>
      <c r="L31" s="57" t="s">
        <v>243</v>
      </c>
      <c r="M31" s="57">
        <v>2017</v>
      </c>
      <c r="N31" s="57" t="s">
        <v>253</v>
      </c>
      <c r="O31" s="57">
        <v>2018</v>
      </c>
      <c r="P31" s="57" t="s">
        <v>271</v>
      </c>
      <c r="Q31" s="57">
        <v>2019</v>
      </c>
      <c r="R31" s="57">
        <v>2020</v>
      </c>
      <c r="S31" s="57">
        <v>2021</v>
      </c>
      <c r="T31" s="57">
        <v>2022</v>
      </c>
      <c r="U31" s="57">
        <v>2023</v>
      </c>
      <c r="V31" s="57">
        <v>2024</v>
      </c>
      <c r="W31" s="61" t="s">
        <v>350</v>
      </c>
      <c r="X31" s="61" t="s">
        <v>266</v>
      </c>
      <c r="Y31" s="166"/>
      <c r="Z31" s="167"/>
      <c r="AA31" s="56"/>
      <c r="AB31" s="50"/>
    </row>
    <row r="32" spans="1:28" ht="16" x14ac:dyDescent="0.2">
      <c r="A32" s="44" t="s">
        <v>95</v>
      </c>
      <c r="B32" s="43"/>
      <c r="C32" s="59">
        <f>C12+C15+C16+C17+C22</f>
        <v>364.33046200000001</v>
      </c>
      <c r="D32" s="59">
        <f t="shared" ref="D32:K32" si="2">D12+D15+D16+D17+D22</f>
        <v>174.29171200000002</v>
      </c>
      <c r="E32" s="59">
        <f t="shared" si="2"/>
        <v>387.30195189999995</v>
      </c>
      <c r="F32" s="59">
        <f t="shared" si="2"/>
        <v>168.90520700000002</v>
      </c>
      <c r="G32" s="59">
        <f t="shared" si="2"/>
        <v>380.72203399999995</v>
      </c>
      <c r="H32" s="59">
        <f t="shared" si="2"/>
        <v>197.51030100000003</v>
      </c>
      <c r="I32" s="59">
        <f t="shared" si="2"/>
        <v>421.2653594800002</v>
      </c>
      <c r="J32" s="59">
        <f t="shared" si="2"/>
        <v>213.18542516666668</v>
      </c>
      <c r="K32" s="59">
        <f t="shared" si="2"/>
        <v>433.58218302999995</v>
      </c>
      <c r="L32" s="59">
        <f t="shared" ref="L32:U32" si="3">L12+L15+L16+L17+L22</f>
        <v>214.77204001153845</v>
      </c>
      <c r="M32" s="59">
        <f t="shared" si="3"/>
        <v>473.37329709647588</v>
      </c>
      <c r="N32" s="59">
        <f t="shared" si="3"/>
        <v>222.56463286321068</v>
      </c>
      <c r="O32" s="59">
        <f t="shared" si="3"/>
        <v>463.62793215305078</v>
      </c>
      <c r="P32" s="59">
        <f t="shared" si="3"/>
        <v>203.97887708461539</v>
      </c>
      <c r="Q32" s="59">
        <f t="shared" si="3"/>
        <v>446.91735416</v>
      </c>
      <c r="R32" s="59">
        <f t="shared" si="3"/>
        <v>437.93002744000006</v>
      </c>
      <c r="S32" s="59">
        <f t="shared" si="3"/>
        <v>448.40333050011139</v>
      </c>
      <c r="T32" s="59">
        <f t="shared" si="3"/>
        <v>385.95038699999998</v>
      </c>
      <c r="U32" s="59">
        <f t="shared" si="3"/>
        <v>414.33174439999999</v>
      </c>
      <c r="V32" s="59">
        <f>V12+V15+V16+V17+V22</f>
        <v>362.26462925999999</v>
      </c>
      <c r="W32" s="30">
        <f>V32-M32</f>
        <v>-111.10866783647589</v>
      </c>
      <c r="X32" s="62">
        <f>W32/M32</f>
        <v>-0.23471680493593913</v>
      </c>
      <c r="Y32" s="135"/>
      <c r="Z32" s="168"/>
      <c r="AA32" s="135"/>
      <c r="AB32" s="51"/>
    </row>
    <row r="33" spans="1:28" ht="16" x14ac:dyDescent="0.2">
      <c r="A33" s="58" t="s">
        <v>96</v>
      </c>
      <c r="B33" s="43"/>
      <c r="C33" s="59">
        <f t="shared" ref="C33:S33" si="4">C20+C13</f>
        <v>36.214896000000003</v>
      </c>
      <c r="D33" s="59">
        <f t="shared" si="4"/>
        <v>12.137976</v>
      </c>
      <c r="E33" s="59">
        <f t="shared" si="4"/>
        <v>38.164777999999998</v>
      </c>
      <c r="F33" s="59">
        <f t="shared" si="4"/>
        <v>0</v>
      </c>
      <c r="G33" s="59">
        <f t="shared" si="4"/>
        <v>15.44</v>
      </c>
      <c r="H33" s="59">
        <f t="shared" si="4"/>
        <v>0</v>
      </c>
      <c r="I33" s="59">
        <f t="shared" si="4"/>
        <v>15.44</v>
      </c>
      <c r="J33" s="59">
        <f t="shared" si="4"/>
        <v>0</v>
      </c>
      <c r="K33" s="59">
        <f t="shared" si="4"/>
        <v>15.44</v>
      </c>
      <c r="L33" s="59">
        <f t="shared" si="4"/>
        <v>7.9620174923076927</v>
      </c>
      <c r="M33" s="59">
        <f t="shared" si="4"/>
        <v>30.837399560723512</v>
      </c>
      <c r="N33" s="59">
        <f t="shared" si="4"/>
        <v>10.3580928</v>
      </c>
      <c r="O33" s="59">
        <f t="shared" si="4"/>
        <v>36.479269166666668</v>
      </c>
      <c r="P33" s="59">
        <f t="shared" si="4"/>
        <v>9.1174016153846154</v>
      </c>
      <c r="Q33" s="59">
        <f t="shared" si="4"/>
        <v>32.727831831395349</v>
      </c>
      <c r="R33" s="59">
        <f t="shared" si="4"/>
        <v>31.083774857142856</v>
      </c>
      <c r="S33" s="59">
        <f t="shared" si="4"/>
        <v>29.633568</v>
      </c>
      <c r="T33" s="59">
        <f>T20+T13</f>
        <v>15.44</v>
      </c>
      <c r="U33" s="59">
        <f>U20+U13</f>
        <v>13.220499999999999</v>
      </c>
      <c r="V33" s="59">
        <f>V20+V13+V19</f>
        <v>24.594338032000003</v>
      </c>
      <c r="W33" s="30">
        <f>V33-M33</f>
        <v>-6.2430615287235085</v>
      </c>
      <c r="X33" s="62">
        <f>W33/M33</f>
        <v>-0.20245097244435201</v>
      </c>
      <c r="Y33" s="135"/>
      <c r="Z33" s="168"/>
      <c r="AA33" s="135"/>
      <c r="AB33" s="51"/>
    </row>
    <row r="34" spans="1:28" ht="16" x14ac:dyDescent="0.2">
      <c r="A34" s="58"/>
      <c r="B34" s="43"/>
      <c r="C34" s="59"/>
      <c r="D34" s="59"/>
      <c r="E34" s="59"/>
      <c r="F34" s="59"/>
      <c r="G34" s="59"/>
      <c r="H34" s="59"/>
      <c r="I34" s="59"/>
      <c r="J34" s="59"/>
      <c r="K34" s="59"/>
      <c r="L34" s="59"/>
      <c r="M34" s="59"/>
      <c r="N34" s="59"/>
      <c r="O34" s="59"/>
      <c r="P34" s="59"/>
      <c r="Q34" s="59"/>
      <c r="R34" s="59"/>
      <c r="S34" s="59"/>
      <c r="T34" s="59"/>
      <c r="U34" s="59"/>
      <c r="V34" s="59"/>
      <c r="W34" s="30"/>
      <c r="X34" s="62"/>
      <c r="Y34" s="135"/>
      <c r="Z34" s="168"/>
      <c r="AA34" s="135"/>
      <c r="AB34" s="51"/>
    </row>
    <row r="35" spans="1:28" ht="16" x14ac:dyDescent="0.2">
      <c r="A35" s="44" t="s">
        <v>99</v>
      </c>
      <c r="B35" s="42"/>
      <c r="C35" s="59"/>
      <c r="D35" s="59"/>
      <c r="E35" s="59"/>
      <c r="F35" s="59"/>
      <c r="G35" s="59"/>
      <c r="H35" s="59"/>
      <c r="I35" s="59"/>
      <c r="J35" s="59"/>
      <c r="K35" s="59"/>
      <c r="L35" s="59"/>
      <c r="M35" s="59"/>
      <c r="N35" s="59"/>
      <c r="O35" s="59"/>
      <c r="P35" s="59"/>
      <c r="Q35" s="59"/>
      <c r="R35" s="59"/>
      <c r="S35" s="59"/>
      <c r="T35" s="59"/>
      <c r="U35" s="59"/>
      <c r="V35" s="59"/>
      <c r="W35" s="30"/>
      <c r="X35" s="62"/>
      <c r="Y35" s="135"/>
      <c r="Z35" s="168"/>
      <c r="AA35" s="56"/>
      <c r="AB35" s="50"/>
    </row>
    <row r="36" spans="1:28" ht="16" x14ac:dyDescent="0.2">
      <c r="A36" s="197" t="s">
        <v>159</v>
      </c>
      <c r="B36" s="43"/>
      <c r="C36" s="59">
        <f t="shared" ref="C36:S36" si="5">C12+C13</f>
        <v>344.02790000000005</v>
      </c>
      <c r="D36" s="59">
        <f t="shared" si="5"/>
        <v>156.12851000000001</v>
      </c>
      <c r="E36" s="59">
        <f t="shared" si="5"/>
        <v>367.16648949999995</v>
      </c>
      <c r="F36" s="59">
        <f t="shared" si="5"/>
        <v>145.47920000000002</v>
      </c>
      <c r="G36" s="59">
        <f t="shared" si="5"/>
        <v>354.46402999999998</v>
      </c>
      <c r="H36" s="59">
        <f t="shared" si="5"/>
        <v>169.86893000000001</v>
      </c>
      <c r="I36" s="59">
        <f t="shared" si="5"/>
        <v>388.27985432000025</v>
      </c>
      <c r="J36" s="59">
        <f t="shared" si="5"/>
        <v>181.57583890000004</v>
      </c>
      <c r="K36" s="59">
        <f t="shared" si="5"/>
        <v>390.76765978999998</v>
      </c>
      <c r="L36" s="59">
        <f t="shared" si="5"/>
        <v>191.17439759999999</v>
      </c>
      <c r="M36" s="59">
        <f t="shared" si="5"/>
        <v>429.73778333461541</v>
      </c>
      <c r="N36" s="59">
        <f t="shared" si="5"/>
        <v>198.8806285</v>
      </c>
      <c r="O36" s="59">
        <f t="shared" si="5"/>
        <v>430.80106684999998</v>
      </c>
      <c r="P36" s="59">
        <f t="shared" si="5"/>
        <v>185.9219008</v>
      </c>
      <c r="Q36" s="59">
        <f t="shared" si="5"/>
        <v>410.67503396000001</v>
      </c>
      <c r="R36" s="59">
        <f t="shared" si="5"/>
        <v>430.27180200000004</v>
      </c>
      <c r="S36" s="59">
        <f t="shared" si="5"/>
        <v>429.52457565999998</v>
      </c>
      <c r="T36" s="59">
        <f>T12+T13</f>
        <v>378.96380399999998</v>
      </c>
      <c r="U36" s="59">
        <f>U12+U13</f>
        <v>403.865612</v>
      </c>
      <c r="V36" s="59">
        <f>V12+V13+V19</f>
        <v>362.89905467199998</v>
      </c>
      <c r="W36" s="30">
        <f>V36-M36</f>
        <v>-66.838728662615438</v>
      </c>
      <c r="X36" s="62">
        <f>W36/M36</f>
        <v>-0.155533749310964</v>
      </c>
      <c r="Y36" s="135"/>
      <c r="Z36" s="168"/>
      <c r="AA36" s="135"/>
      <c r="AB36" s="51"/>
    </row>
    <row r="37" spans="1:28" ht="16" x14ac:dyDescent="0.2">
      <c r="A37" s="197" t="s">
        <v>98</v>
      </c>
      <c r="B37" s="43"/>
      <c r="C37" s="59">
        <f>C15+C16+C17</f>
        <v>13.535854</v>
      </c>
      <c r="D37" s="59">
        <f t="shared" ref="D37:K37" si="6">D15+D16+D17</f>
        <v>5.9435779999999996</v>
      </c>
      <c r="E37" s="59">
        <f t="shared" si="6"/>
        <v>12.4512464</v>
      </c>
      <c r="F37" s="59">
        <f t="shared" si="6"/>
        <v>9.0265950000000021</v>
      </c>
      <c r="G37" s="59">
        <f t="shared" si="6"/>
        <v>16.100096000000001</v>
      </c>
      <c r="H37" s="59">
        <f t="shared" si="6"/>
        <v>9.0185680000000001</v>
      </c>
      <c r="I37" s="59">
        <f t="shared" si="6"/>
        <v>19.168869159999996</v>
      </c>
      <c r="J37" s="59">
        <f t="shared" si="6"/>
        <v>11.800279600000001</v>
      </c>
      <c r="K37" s="59">
        <f t="shared" si="6"/>
        <v>22.364323239999997</v>
      </c>
      <c r="L37" s="59">
        <f t="shared" ref="L37:Q37" si="7">L15+L16+L17</f>
        <v>7.0288751999999999</v>
      </c>
      <c r="M37" s="59">
        <f t="shared" si="7"/>
        <v>20.139096319999997</v>
      </c>
      <c r="N37" s="59">
        <f t="shared" si="7"/>
        <v>8.1584184000000004</v>
      </c>
      <c r="O37" s="59">
        <f t="shared" si="7"/>
        <v>17.245051319999998</v>
      </c>
      <c r="P37" s="59">
        <f t="shared" si="7"/>
        <v>5.9581008999999998</v>
      </c>
      <c r="Q37" s="59">
        <f t="shared" si="7"/>
        <v>12.614130200000002</v>
      </c>
      <c r="R37" s="59">
        <f t="shared" ref="R37:S37" si="8">R15+R16+R17</f>
        <v>13.45026144</v>
      </c>
      <c r="S37" s="59">
        <f t="shared" si="8"/>
        <v>11.081976399999999</v>
      </c>
      <c r="T37" s="59">
        <f t="shared" ref="T37:V37" si="9">T15+T16+T17</f>
        <v>9.1284530000000004</v>
      </c>
      <c r="U37" s="59">
        <f t="shared" si="9"/>
        <v>9.5660644000000019</v>
      </c>
      <c r="V37" s="59">
        <f t="shared" si="9"/>
        <v>8.1906976200000017</v>
      </c>
      <c r="W37" s="30">
        <f>V37-M37</f>
        <v>-11.948398699999995</v>
      </c>
      <c r="X37" s="62">
        <f>W37/M37</f>
        <v>-0.59329368657590276</v>
      </c>
      <c r="Y37" s="135"/>
      <c r="Z37" s="168"/>
      <c r="AA37" s="135"/>
      <c r="AB37" s="51"/>
    </row>
    <row r="38" spans="1:28" ht="16" x14ac:dyDescent="0.2">
      <c r="A38" s="197" t="str">
        <f>'Footprint 2024'!B22</f>
        <v>Laden EV's - externe locaties</v>
      </c>
      <c r="B38" s="43"/>
      <c r="C38" s="59"/>
      <c r="D38" s="59"/>
      <c r="E38" s="59"/>
      <c r="F38" s="59"/>
      <c r="G38" s="59"/>
      <c r="H38" s="59"/>
      <c r="I38" s="59"/>
      <c r="J38" s="59"/>
      <c r="K38" s="59"/>
      <c r="L38" s="59"/>
      <c r="M38" s="59">
        <f t="shared" ref="L38:Q39" si="10">M19</f>
        <v>0</v>
      </c>
      <c r="N38" s="59"/>
      <c r="O38" s="59">
        <f t="shared" si="10"/>
        <v>0</v>
      </c>
      <c r="P38" s="59"/>
      <c r="Q38" s="59">
        <f t="shared" si="10"/>
        <v>0</v>
      </c>
      <c r="R38" s="59">
        <f t="shared" ref="R38:S39" si="11">R19</f>
        <v>0</v>
      </c>
      <c r="S38" s="59">
        <f t="shared" si="11"/>
        <v>0</v>
      </c>
      <c r="T38" s="59">
        <f t="shared" ref="T38:V39" si="12">T19</f>
        <v>0</v>
      </c>
      <c r="U38" s="59">
        <f t="shared" si="12"/>
        <v>0</v>
      </c>
      <c r="V38" s="59">
        <f t="shared" si="12"/>
        <v>13.235709032000001</v>
      </c>
      <c r="W38" s="30"/>
      <c r="X38" s="62"/>
      <c r="Y38" s="135"/>
      <c r="Z38" s="168"/>
      <c r="AA38" s="135"/>
      <c r="AB38" s="51"/>
    </row>
    <row r="39" spans="1:28" ht="16" x14ac:dyDescent="0.2">
      <c r="A39" s="197" t="s">
        <v>83</v>
      </c>
      <c r="B39" s="43"/>
      <c r="C39" s="59">
        <f>C20</f>
        <v>20.774896000000002</v>
      </c>
      <c r="D39" s="59">
        <f t="shared" ref="D39:K39" si="13">D20</f>
        <v>12.137976</v>
      </c>
      <c r="E39" s="59">
        <f t="shared" si="13"/>
        <v>22.724778000000001</v>
      </c>
      <c r="F39" s="59">
        <f t="shared" si="13"/>
        <v>0</v>
      </c>
      <c r="G39" s="59">
        <f t="shared" si="13"/>
        <v>0</v>
      </c>
      <c r="H39" s="59">
        <f t="shared" si="13"/>
        <v>0</v>
      </c>
      <c r="I39" s="59">
        <f t="shared" si="13"/>
        <v>0</v>
      </c>
      <c r="J39" s="59">
        <f t="shared" si="13"/>
        <v>0</v>
      </c>
      <c r="K39" s="59">
        <f t="shared" si="13"/>
        <v>0</v>
      </c>
      <c r="L39" s="59">
        <f t="shared" si="10"/>
        <v>7.9620174923076927</v>
      </c>
      <c r="M39" s="59">
        <f t="shared" si="10"/>
        <v>15.397399560723514</v>
      </c>
      <c r="N39" s="59">
        <f t="shared" si="10"/>
        <v>10.3580928</v>
      </c>
      <c r="O39" s="59">
        <f t="shared" si="10"/>
        <v>21.039269166666667</v>
      </c>
      <c r="P39" s="59">
        <f t="shared" si="10"/>
        <v>9.1174016153846154</v>
      </c>
      <c r="Q39" s="59">
        <f t="shared" si="10"/>
        <v>17.287831831395348</v>
      </c>
      <c r="R39" s="59">
        <f t="shared" si="11"/>
        <v>15.643774857142859</v>
      </c>
      <c r="S39" s="59">
        <f t="shared" si="11"/>
        <v>14.193568000000001</v>
      </c>
      <c r="T39" s="59">
        <f t="shared" si="12"/>
        <v>0</v>
      </c>
      <c r="U39" s="59">
        <f t="shared" si="12"/>
        <v>0</v>
      </c>
      <c r="V39" s="59">
        <f t="shared" si="12"/>
        <v>0</v>
      </c>
      <c r="W39" s="30">
        <f>V39-M39</f>
        <v>-15.397399560723514</v>
      </c>
      <c r="X39" s="62">
        <f>W39/M39</f>
        <v>-1</v>
      </c>
      <c r="Y39" s="135"/>
      <c r="Z39" s="168"/>
      <c r="AA39" s="135"/>
      <c r="AB39" s="51"/>
    </row>
    <row r="40" spans="1:28" ht="16" x14ac:dyDescent="0.2">
      <c r="A40" s="197" t="s">
        <v>84</v>
      </c>
      <c r="B40" s="43"/>
      <c r="C40" s="59">
        <f>C22</f>
        <v>22.206707999999999</v>
      </c>
      <c r="D40" s="59">
        <f t="shared" ref="D40:J40" si="14">D22</f>
        <v>12.219624</v>
      </c>
      <c r="E40" s="59">
        <f t="shared" si="14"/>
        <v>23.124216000000001</v>
      </c>
      <c r="F40" s="59">
        <f t="shared" si="14"/>
        <v>14.399411999999998</v>
      </c>
      <c r="G40" s="59">
        <f t="shared" si="14"/>
        <v>25.597908</v>
      </c>
      <c r="H40" s="59">
        <f t="shared" si="14"/>
        <v>18.622803000000001</v>
      </c>
      <c r="I40" s="59">
        <f t="shared" si="14"/>
        <v>29.256636</v>
      </c>
      <c r="J40" s="59">
        <f t="shared" si="14"/>
        <v>19.809306666666668</v>
      </c>
      <c r="K40" s="59">
        <f t="shared" ref="K40:P40" si="15">K22</f>
        <v>35.8902</v>
      </c>
      <c r="L40" s="59">
        <f t="shared" si="15"/>
        <v>16.568767211538464</v>
      </c>
      <c r="M40" s="59">
        <f t="shared" si="15"/>
        <v>38.93641744186047</v>
      </c>
      <c r="N40" s="59">
        <f t="shared" si="15"/>
        <v>15.5255859632107</v>
      </c>
      <c r="O40" s="59">
        <f t="shared" si="15"/>
        <v>31.021813983050844</v>
      </c>
      <c r="P40" s="59">
        <f t="shared" si="15"/>
        <v>12.098875384615384</v>
      </c>
      <c r="Q40" s="59">
        <f t="shared" ref="Q40:V40" si="16">Q22</f>
        <v>39.068189999999994</v>
      </c>
      <c r="R40" s="59">
        <f t="shared" si="16"/>
        <v>9.647964</v>
      </c>
      <c r="S40" s="59">
        <f t="shared" si="16"/>
        <v>23.236778440111419</v>
      </c>
      <c r="T40" s="59">
        <f t="shared" si="16"/>
        <v>13.298129999999999</v>
      </c>
      <c r="U40" s="59">
        <f t="shared" si="16"/>
        <v>14.120568</v>
      </c>
      <c r="V40" s="59">
        <f t="shared" si="16"/>
        <v>15.769215000000003</v>
      </c>
      <c r="W40" s="30">
        <f>V40-M40</f>
        <v>-23.167202441860468</v>
      </c>
      <c r="X40" s="62">
        <f>W40/M40</f>
        <v>-0.59500087486100994</v>
      </c>
      <c r="Y40" s="135"/>
      <c r="Z40" s="168"/>
      <c r="AA40" s="135"/>
      <c r="AB40" s="51"/>
    </row>
    <row r="41" spans="1:28" x14ac:dyDescent="0.2">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row>
    <row r="42" spans="1:28" ht="24" hidden="1" x14ac:dyDescent="0.2">
      <c r="A42" s="44" t="s">
        <v>231</v>
      </c>
      <c r="B42" s="42"/>
      <c r="C42" s="57">
        <v>2012</v>
      </c>
      <c r="D42" s="57" t="s">
        <v>223</v>
      </c>
      <c r="E42" s="57">
        <v>2013</v>
      </c>
      <c r="F42" s="57" t="s">
        <v>166</v>
      </c>
      <c r="G42" s="57">
        <v>2014</v>
      </c>
      <c r="H42" s="57" t="s">
        <v>101</v>
      </c>
      <c r="I42" s="57">
        <v>2015</v>
      </c>
      <c r="J42" s="57" t="s">
        <v>102</v>
      </c>
      <c r="K42" s="57">
        <v>2016</v>
      </c>
      <c r="L42" s="57" t="s">
        <v>243</v>
      </c>
      <c r="M42" s="57">
        <v>2017</v>
      </c>
      <c r="N42" s="57">
        <v>2017</v>
      </c>
      <c r="O42" s="57">
        <v>2017</v>
      </c>
      <c r="P42" s="57"/>
      <c r="Q42" s="57"/>
      <c r="R42" s="57"/>
      <c r="S42" s="57"/>
      <c r="T42" s="57"/>
      <c r="U42" s="57"/>
      <c r="V42" s="57"/>
      <c r="W42" s="61" t="s">
        <v>244</v>
      </c>
      <c r="X42" s="61" t="s">
        <v>244</v>
      </c>
      <c r="Y42" s="56"/>
      <c r="Z42" s="56"/>
      <c r="AA42" s="56"/>
      <c r="AB42" s="50"/>
    </row>
    <row r="43" spans="1:28" ht="16" hidden="1" x14ac:dyDescent="0.2">
      <c r="A43" s="44" t="s">
        <v>95</v>
      </c>
      <c r="B43" s="43" t="s">
        <v>232</v>
      </c>
      <c r="C43" s="59">
        <f>C32/C27</f>
        <v>71.43734549019608</v>
      </c>
      <c r="D43" s="59"/>
      <c r="E43" s="59">
        <f t="shared" ref="E43:I43" si="17">E32/E27</f>
        <v>69.161062839285705</v>
      </c>
      <c r="F43" s="59"/>
      <c r="G43" s="59">
        <f t="shared" si="17"/>
        <v>73.21577576923076</v>
      </c>
      <c r="H43" s="59"/>
      <c r="I43" s="59">
        <f t="shared" si="17"/>
        <v>63.828084769697</v>
      </c>
      <c r="J43" s="59">
        <f>J32/J27</f>
        <v>75.775243213277179</v>
      </c>
      <c r="K43" s="59">
        <f>K32/K27</f>
        <v>77.056851673505093</v>
      </c>
      <c r="L43" s="59"/>
      <c r="M43" s="59"/>
      <c r="N43" s="59"/>
      <c r="O43" s="59"/>
      <c r="P43" s="59"/>
      <c r="Q43" s="59"/>
      <c r="R43" s="59"/>
      <c r="S43" s="59"/>
      <c r="T43" s="59"/>
      <c r="U43" s="59"/>
      <c r="V43" s="59"/>
      <c r="W43" s="30">
        <f>K43-I43</f>
        <v>13.228766903808094</v>
      </c>
      <c r="X43" s="62">
        <f>W43/I43</f>
        <v>0.2072562094184687</v>
      </c>
      <c r="Y43" s="51"/>
      <c r="Z43" s="51"/>
      <c r="AA43" s="135"/>
      <c r="AB43" s="51"/>
    </row>
    <row r="44" spans="1:28" ht="16" hidden="1" x14ac:dyDescent="0.2">
      <c r="A44" s="58" t="s">
        <v>96</v>
      </c>
      <c r="B44" s="43" t="s">
        <v>232</v>
      </c>
      <c r="C44" s="59">
        <f>C33/C27</f>
        <v>7.1009600000000015</v>
      </c>
      <c r="D44" s="59"/>
      <c r="E44" s="59">
        <f t="shared" ref="E44:K44" si="18">E33/E27</f>
        <v>6.8151389285714288</v>
      </c>
      <c r="F44" s="59"/>
      <c r="G44" s="59">
        <f t="shared" si="18"/>
        <v>2.9692307692307689</v>
      </c>
      <c r="H44" s="59"/>
      <c r="I44" s="59">
        <f t="shared" si="18"/>
        <v>2.3393939393939394</v>
      </c>
      <c r="J44" s="59">
        <f t="shared" ref="J44" si="19">J33/J27</f>
        <v>0</v>
      </c>
      <c r="K44" s="59">
        <f t="shared" si="18"/>
        <v>2.7440190958137181</v>
      </c>
      <c r="L44" s="59"/>
      <c r="M44" s="59"/>
      <c r="N44" s="59"/>
      <c r="O44" s="59"/>
      <c r="P44" s="59"/>
      <c r="Q44" s="59"/>
      <c r="R44" s="59"/>
      <c r="S44" s="59"/>
      <c r="T44" s="59"/>
      <c r="U44" s="59"/>
      <c r="V44" s="59"/>
      <c r="W44" s="30">
        <f>K44-I44</f>
        <v>0.4046251564197787</v>
      </c>
      <c r="X44" s="62">
        <f>W44/I44</f>
        <v>0.17296153059394687</v>
      </c>
      <c r="Y44" s="51"/>
      <c r="Z44" s="51"/>
      <c r="AA44" s="135"/>
      <c r="AB44" s="51"/>
    </row>
    <row r="45" spans="1:28" ht="24" x14ac:dyDescent="0.2">
      <c r="A45" s="44" t="s">
        <v>291</v>
      </c>
      <c r="B45" s="42"/>
      <c r="C45" s="57">
        <v>2012</v>
      </c>
      <c r="D45" s="57" t="s">
        <v>223</v>
      </c>
      <c r="E45" s="57">
        <v>2013</v>
      </c>
      <c r="F45" s="57" t="s">
        <v>166</v>
      </c>
      <c r="G45" s="57">
        <v>2014</v>
      </c>
      <c r="H45" s="57" t="s">
        <v>101</v>
      </c>
      <c r="I45" s="57">
        <v>2015</v>
      </c>
      <c r="J45" s="57" t="s">
        <v>102</v>
      </c>
      <c r="K45" s="57">
        <v>2016</v>
      </c>
      <c r="L45" s="57" t="s">
        <v>243</v>
      </c>
      <c r="M45" s="57">
        <v>2017</v>
      </c>
      <c r="N45" s="57" t="s">
        <v>269</v>
      </c>
      <c r="O45" s="57">
        <v>2018</v>
      </c>
      <c r="P45" s="57" t="s">
        <v>270</v>
      </c>
      <c r="Q45" s="57">
        <v>2019</v>
      </c>
      <c r="R45" s="57">
        <v>2020</v>
      </c>
      <c r="S45" s="57">
        <v>2021</v>
      </c>
      <c r="T45" s="57">
        <v>2022</v>
      </c>
      <c r="U45" s="57">
        <v>2023</v>
      </c>
      <c r="V45" s="57">
        <f>2024</f>
        <v>2024</v>
      </c>
      <c r="W45" s="61" t="s">
        <v>351</v>
      </c>
      <c r="X45" s="61" t="s">
        <v>266</v>
      </c>
      <c r="Y45" s="166"/>
      <c r="Z45" s="167"/>
      <c r="AA45" s="56"/>
      <c r="AB45" s="50"/>
    </row>
    <row r="46" spans="1:28" ht="16" x14ac:dyDescent="0.2">
      <c r="A46" s="197" t="s">
        <v>245</v>
      </c>
      <c r="B46" s="43" t="s">
        <v>233</v>
      </c>
      <c r="C46" s="59" t="e">
        <f t="shared" ref="C46:H46" si="20">C36/C26</f>
        <v>#DIV/0!</v>
      </c>
      <c r="D46" s="59" t="e">
        <f t="shared" si="20"/>
        <v>#DIV/0!</v>
      </c>
      <c r="E46" s="59" t="e">
        <f t="shared" si="20"/>
        <v>#DIV/0!</v>
      </c>
      <c r="F46" s="59" t="e">
        <f t="shared" si="20"/>
        <v>#DIV/0!</v>
      </c>
      <c r="G46" s="59" t="e">
        <f t="shared" si="20"/>
        <v>#DIV/0!</v>
      </c>
      <c r="H46" s="59" t="e">
        <f t="shared" si="20"/>
        <v>#DIV/0!</v>
      </c>
      <c r="I46" s="59" t="e">
        <f>I36/I26</f>
        <v>#DIV/0!</v>
      </c>
      <c r="J46" s="59" t="e">
        <f t="shared" ref="J46:K46" si="21">J36/J26</f>
        <v>#DIV/0!</v>
      </c>
      <c r="K46" s="59" t="e">
        <f t="shared" si="21"/>
        <v>#DIV/0!</v>
      </c>
      <c r="L46" s="59">
        <f t="shared" ref="L46:R46" si="22">L36/L26*1000</f>
        <v>0.48591718374297838</v>
      </c>
      <c r="M46" s="59">
        <f>M36/M26*1000</f>
        <v>0.53176747746914232</v>
      </c>
      <c r="N46" s="59">
        <f t="shared" si="22"/>
        <v>0.4353331169954055</v>
      </c>
      <c r="O46" s="59">
        <f t="shared" si="22"/>
        <v>0.61944231184558263</v>
      </c>
      <c r="P46" s="59">
        <f t="shared" si="22"/>
        <v>0.39836984236050277</v>
      </c>
      <c r="Q46" s="59">
        <f t="shared" si="22"/>
        <v>0.50618437132048022</v>
      </c>
      <c r="R46" s="59">
        <f t="shared" si="22"/>
        <v>0.49690244460150507</v>
      </c>
      <c r="S46" s="59">
        <f t="shared" ref="S46:U46" si="23">S36/S26*1000</f>
        <v>0.44688287115598702</v>
      </c>
      <c r="T46" s="59">
        <f t="shared" si="23"/>
        <v>0.42389592417019201</v>
      </c>
      <c r="U46" s="59">
        <f t="shared" si="23"/>
        <v>0.43235476449700089</v>
      </c>
      <c r="V46" s="59">
        <f>V36/V26*1000</f>
        <v>0.40181615470349785</v>
      </c>
      <c r="W46" s="30">
        <f>V46-M46</f>
        <v>-0.12995132276564447</v>
      </c>
      <c r="X46" s="62">
        <f>W46/M46</f>
        <v>-0.24437621379954616</v>
      </c>
      <c r="Y46" s="135"/>
      <c r="Z46" s="135"/>
      <c r="AA46" s="135"/>
      <c r="AB46" s="51"/>
    </row>
    <row r="47" spans="1:28" ht="16" hidden="1" x14ac:dyDescent="0.2">
      <c r="A47" s="197" t="s">
        <v>159</v>
      </c>
      <c r="B47" s="43" t="s">
        <v>232</v>
      </c>
      <c r="C47" s="59">
        <f>C36/C27</f>
        <v>67.456450980392177</v>
      </c>
      <c r="D47" s="59"/>
      <c r="E47" s="59">
        <f>E36/E27</f>
        <v>65.565444553571425</v>
      </c>
      <c r="F47" s="59"/>
      <c r="G47" s="59">
        <f>G36/G27</f>
        <v>68.166159615384615</v>
      </c>
      <c r="H47" s="59"/>
      <c r="I47" s="59">
        <f>I36/I27</f>
        <v>58.830280957575802</v>
      </c>
      <c r="J47" s="59"/>
      <c r="K47" s="59">
        <f>K36/K27</f>
        <v>69.447792777862588</v>
      </c>
      <c r="L47" s="59"/>
      <c r="M47" s="59" t="e">
        <f>M36/M27</f>
        <v>#DIV/0!</v>
      </c>
      <c r="N47" s="59" t="e">
        <f>N36/N27</f>
        <v>#DIV/0!</v>
      </c>
      <c r="O47" s="59" t="e">
        <f>O36/O27</f>
        <v>#DIV/0!</v>
      </c>
      <c r="P47" s="59"/>
      <c r="Q47" s="59"/>
      <c r="R47" s="59"/>
      <c r="S47" s="59"/>
      <c r="T47" s="59"/>
      <c r="U47" s="59"/>
      <c r="V47" s="59"/>
      <c r="W47" s="30" t="e">
        <f>O47-M47</f>
        <v>#DIV/0!</v>
      </c>
      <c r="X47" s="62" t="e">
        <f>W47/I47</f>
        <v>#DIV/0!</v>
      </c>
      <c r="Y47" s="135"/>
      <c r="Z47" s="135"/>
      <c r="AA47" s="135"/>
      <c r="AB47" s="51"/>
    </row>
    <row r="48" spans="1:28" ht="16" hidden="1" x14ac:dyDescent="0.2">
      <c r="A48" s="197" t="s">
        <v>98</v>
      </c>
      <c r="B48" s="43" t="s">
        <v>232</v>
      </c>
      <c r="C48" s="59">
        <f>C37/C27</f>
        <v>2.6540890196078433</v>
      </c>
      <c r="D48" s="59"/>
      <c r="E48" s="59">
        <f>E37/E27</f>
        <v>2.2234368571428575</v>
      </c>
      <c r="F48" s="59"/>
      <c r="G48" s="59">
        <f>G37/G27</f>
        <v>3.0961723076923078</v>
      </c>
      <c r="H48" s="59"/>
      <c r="I48" s="59">
        <f>I37/I27</f>
        <v>2.9043741151515148</v>
      </c>
      <c r="J48" s="59"/>
      <c r="K48" s="59">
        <f>K37/K27</f>
        <v>3.9746198209527539</v>
      </c>
      <c r="L48" s="59"/>
      <c r="M48" s="59" t="e">
        <f>M37/M27</f>
        <v>#DIV/0!</v>
      </c>
      <c r="N48" s="59" t="e">
        <f>N37/N27</f>
        <v>#DIV/0!</v>
      </c>
      <c r="O48" s="59" t="e">
        <f>O37/O27</f>
        <v>#DIV/0!</v>
      </c>
      <c r="P48" s="59"/>
      <c r="Q48" s="59"/>
      <c r="R48" s="59"/>
      <c r="S48" s="59"/>
      <c r="T48" s="59"/>
      <c r="U48" s="59"/>
      <c r="V48" s="59"/>
      <c r="W48" s="30" t="e">
        <f>O48-M48</f>
        <v>#DIV/0!</v>
      </c>
      <c r="X48" s="62" t="e">
        <f>W48/I48</f>
        <v>#DIV/0!</v>
      </c>
      <c r="Y48" s="135"/>
      <c r="Z48" s="135"/>
      <c r="AA48" s="135"/>
      <c r="AB48" s="51"/>
    </row>
    <row r="49" spans="1:30" ht="16" x14ac:dyDescent="0.2">
      <c r="A49" s="197" t="s">
        <v>84</v>
      </c>
      <c r="B49" s="43" t="s">
        <v>227</v>
      </c>
      <c r="C49" s="59">
        <f>C40/C29*1000</f>
        <v>7.1152540852290924</v>
      </c>
      <c r="D49" s="59"/>
      <c r="E49" s="59">
        <f>E40/E29*1000</f>
        <v>7.0543672971323987</v>
      </c>
      <c r="F49" s="59"/>
      <c r="G49" s="59">
        <f>G40/G29*1000</f>
        <v>9.75530030487805</v>
      </c>
      <c r="H49" s="59"/>
      <c r="I49" s="59">
        <f t="shared" ref="I49:N49" si="24">I40/I29*1000</f>
        <v>10.112905634289664</v>
      </c>
      <c r="J49" s="59">
        <f t="shared" si="24"/>
        <v>11.319603809523811</v>
      </c>
      <c r="K49" s="59">
        <f t="shared" si="24"/>
        <v>11.837137203166225</v>
      </c>
      <c r="L49" s="59">
        <f t="shared" si="24"/>
        <v>9.7348808528428119</v>
      </c>
      <c r="M49" s="59">
        <f t="shared" si="24"/>
        <v>13.46349150825051</v>
      </c>
      <c r="N49" s="59">
        <f t="shared" si="24"/>
        <v>9.0792900369653218</v>
      </c>
      <c r="O49" s="59">
        <f t="shared" ref="O49" si="25">O40/O29*1000</f>
        <v>10.823702586459246</v>
      </c>
      <c r="P49" s="59">
        <f t="shared" ref="P49:U49" si="26">P40/P29*1000</f>
        <v>7.4576234379852595</v>
      </c>
      <c r="Q49" s="59">
        <f t="shared" si="26"/>
        <v>13.731166658465776</v>
      </c>
      <c r="R49" s="59">
        <f t="shared" si="26"/>
        <v>3.5588210992253781</v>
      </c>
      <c r="S49" s="59">
        <f t="shared" si="26"/>
        <v>7.7075688072546829</v>
      </c>
      <c r="T49" s="59">
        <f t="shared" si="26"/>
        <v>4.9161293900184839</v>
      </c>
      <c r="U49" s="59">
        <f t="shared" si="26"/>
        <v>5.3446510219530659</v>
      </c>
      <c r="V49" s="59">
        <f>V40/V29*1000</f>
        <v>6.056231277363854</v>
      </c>
      <c r="W49" s="30">
        <f>V49-M49</f>
        <v>-7.4072602308866555</v>
      </c>
      <c r="X49" s="62">
        <f>W49/M49</f>
        <v>-0.55017379602812844</v>
      </c>
      <c r="Y49" s="135"/>
      <c r="Z49" s="169"/>
      <c r="AA49" s="135"/>
      <c r="AB49" s="51"/>
    </row>
    <row r="50" spans="1:30" ht="16" x14ac:dyDescent="0.2">
      <c r="A50" s="197" t="s">
        <v>83</v>
      </c>
      <c r="B50" s="43" t="s">
        <v>234</v>
      </c>
      <c r="C50" s="59">
        <f>C39/C28</f>
        <v>2.4156855813953491</v>
      </c>
      <c r="D50" s="59"/>
      <c r="E50" s="59">
        <f>E39/E28</f>
        <v>2.5249753333333333</v>
      </c>
      <c r="F50" s="59"/>
      <c r="G50" s="59">
        <f>G39/G28</f>
        <v>0</v>
      </c>
      <c r="H50" s="59"/>
      <c r="I50" s="59">
        <f>I39/I28</f>
        <v>0</v>
      </c>
      <c r="J50" s="59"/>
      <c r="K50" s="59">
        <f t="shared" ref="K50:P50" si="27">K39/K28</f>
        <v>0</v>
      </c>
      <c r="L50" s="59">
        <f t="shared" si="27"/>
        <v>0.8846686102564103</v>
      </c>
      <c r="M50" s="59">
        <f t="shared" si="27"/>
        <v>1.7903952977585482</v>
      </c>
      <c r="N50" s="59">
        <f t="shared" si="27"/>
        <v>2.4088587906976744</v>
      </c>
      <c r="O50" s="59">
        <f t="shared" si="27"/>
        <v>2.8052358888888889</v>
      </c>
      <c r="P50" s="59">
        <f t="shared" si="27"/>
        <v>1.0601629785330948</v>
      </c>
      <c r="Q50" s="59">
        <f t="shared" ref="Q50:V50" si="28">Q39/Q28</f>
        <v>2.0338625683994529</v>
      </c>
      <c r="R50" s="59">
        <f t="shared" si="28"/>
        <v>1.8404441008403363</v>
      </c>
      <c r="S50" s="59">
        <f t="shared" si="28"/>
        <v>1.7741960000000001</v>
      </c>
      <c r="T50" s="59">
        <f t="shared" si="28"/>
        <v>0</v>
      </c>
      <c r="U50" s="59">
        <f t="shared" si="28"/>
        <v>0</v>
      </c>
      <c r="V50" s="59">
        <f t="shared" si="28"/>
        <v>0</v>
      </c>
      <c r="W50" s="30">
        <f>V50-M50</f>
        <v>-1.7903952977585482</v>
      </c>
      <c r="X50" s="62">
        <f>W50/M50</f>
        <v>-1</v>
      </c>
      <c r="Y50" s="135"/>
      <c r="Z50" s="169"/>
      <c r="AA50" s="135"/>
      <c r="AB50" s="51"/>
    </row>
    <row r="51" spans="1:30" ht="16" hidden="1" x14ac:dyDescent="0.2">
      <c r="A51" s="44" t="s">
        <v>83</v>
      </c>
      <c r="B51" s="43" t="s">
        <v>232</v>
      </c>
      <c r="C51" s="59">
        <f>C39/C27</f>
        <v>4.0735090196078438</v>
      </c>
      <c r="D51" s="59" t="e">
        <f t="shared" ref="D51:K51" si="29">D39/D27</f>
        <v>#DIV/0!</v>
      </c>
      <c r="E51" s="59">
        <f t="shared" si="29"/>
        <v>4.0579960714285717</v>
      </c>
      <c r="F51" s="59" t="e">
        <f t="shared" si="29"/>
        <v>#DIV/0!</v>
      </c>
      <c r="G51" s="59">
        <f t="shared" si="29"/>
        <v>0</v>
      </c>
      <c r="H51" s="59" t="e">
        <f t="shared" si="29"/>
        <v>#DIV/0!</v>
      </c>
      <c r="I51" s="59">
        <f t="shared" si="29"/>
        <v>0</v>
      </c>
      <c r="J51" s="59"/>
      <c r="K51" s="59">
        <f t="shared" si="29"/>
        <v>0</v>
      </c>
      <c r="L51" s="59"/>
      <c r="M51" s="59"/>
      <c r="N51" s="59"/>
      <c r="O51" s="59"/>
      <c r="P51" s="59"/>
      <c r="Q51" s="59"/>
      <c r="R51" s="59"/>
      <c r="S51" s="59"/>
      <c r="T51" s="59"/>
      <c r="U51" s="59"/>
      <c r="V51" s="59"/>
      <c r="W51" s="30"/>
      <c r="X51" s="62"/>
      <c r="Y51" s="51"/>
      <c r="Z51" s="169" t="e">
        <f>Y51/I51</f>
        <v>#DIV/0!</v>
      </c>
      <c r="AA51" s="135"/>
      <c r="AB51" s="51"/>
    </row>
    <row r="52" spans="1:30" ht="16" hidden="1" x14ac:dyDescent="0.2">
      <c r="C52" s="15">
        <f>C41/C27</f>
        <v>0</v>
      </c>
      <c r="E52" s="15">
        <f>E41/E27</f>
        <v>0</v>
      </c>
      <c r="G52" s="15">
        <f>G41/G27</f>
        <v>0</v>
      </c>
      <c r="I52" s="15">
        <f>I41/I27</f>
        <v>0</v>
      </c>
      <c r="K52" s="15">
        <f>K41/K27</f>
        <v>0</v>
      </c>
      <c r="W52" s="30">
        <f>M52-I52</f>
        <v>0</v>
      </c>
      <c r="X52" s="62" t="e">
        <f>W52/I52</f>
        <v>#DIV/0!</v>
      </c>
      <c r="Z52" s="169" t="e">
        <f>Y52/I52</f>
        <v>#DIV/0!</v>
      </c>
    </row>
    <row r="53" spans="1:30" ht="15" x14ac:dyDescent="0.2">
      <c r="AA53" s="15">
        <v>29272.622739018087</v>
      </c>
      <c r="AB53" s="15">
        <v>26637.64534883721</v>
      </c>
      <c r="AC53" s="30">
        <f>AB53-AA53</f>
        <v>-2634.9773901808767</v>
      </c>
      <c r="AD53" s="62">
        <f>AC53/AA53</f>
        <v>-9.0015077011485575E-2</v>
      </c>
    </row>
    <row r="89" spans="27:27" x14ac:dyDescent="0.2">
      <c r="AA89" s="15" t="s">
        <v>355</v>
      </c>
    </row>
  </sheetData>
  <sheetProtection algorithmName="SHA-512" hashValue="OPAA9yQchSzcYlUPbaxOBMRMcHrFE81liauYrs4iSpJo23ykSdKKrdptr7hsfamsx8MiyNaUsIri0ow66iyK5Q==" saltValue="ggtMchU/kkq0ap2MiDoxoQ==" spinCount="100000" sheet="1" objects="1" scenarios="1"/>
  <mergeCells count="4">
    <mergeCell ref="C9:K9"/>
    <mergeCell ref="W9:Z9"/>
    <mergeCell ref="AA9:AB9"/>
    <mergeCell ref="B4:E4"/>
  </mergeCells>
  <conditionalFormatting sqref="A15:A17">
    <cfRule type="expression" dxfId="20" priority="534">
      <formula>$C$14="nee"</formula>
    </cfRule>
  </conditionalFormatting>
  <conditionalFormatting sqref="A16:A17">
    <cfRule type="expression" dxfId="19" priority="533">
      <formula>#REF!="nee"</formula>
    </cfRule>
  </conditionalFormatting>
  <conditionalFormatting sqref="A15:L17 A20:L20 A22:L22">
    <cfRule type="expression" dxfId="18" priority="535">
      <formula>#REF!="nee"</formula>
    </cfRule>
  </conditionalFormatting>
  <conditionalFormatting sqref="A12:V13 C15:V17 C20:V20 C22:V22">
    <cfRule type="expression" dxfId="17" priority="266">
      <formula>#REF!="Nee"</formula>
    </cfRule>
  </conditionalFormatting>
  <conditionalFormatting sqref="W12:W13">
    <cfRule type="colorScale" priority="26">
      <colorScale>
        <cfvo type="num" val="-5"/>
        <cfvo type="num" val="0"/>
        <cfvo type="num" val="5"/>
        <color rgb="FF00B050"/>
        <color rgb="FFFFEB84"/>
        <color rgb="FFFF0000"/>
      </colorScale>
    </cfRule>
  </conditionalFormatting>
  <conditionalFormatting sqref="W15">
    <cfRule type="colorScale" priority="6">
      <colorScale>
        <cfvo type="num" val="-5"/>
        <cfvo type="num" val="0"/>
        <cfvo type="num" val="5"/>
        <color rgb="FF00B050"/>
        <color rgb="FFFFEB84"/>
        <color rgb="FFFF0000"/>
      </colorScale>
    </cfRule>
  </conditionalFormatting>
  <conditionalFormatting sqref="W16">
    <cfRule type="colorScale" priority="5">
      <colorScale>
        <cfvo type="num" val="-5"/>
        <cfvo type="num" val="0"/>
        <cfvo type="num" val="5"/>
        <color rgb="FF00B050"/>
        <color rgb="FFFFEB84"/>
        <color rgb="FFFF0000"/>
      </colorScale>
    </cfRule>
  </conditionalFormatting>
  <conditionalFormatting sqref="W17">
    <cfRule type="colorScale" priority="4">
      <colorScale>
        <cfvo type="num" val="-5"/>
        <cfvo type="num" val="0"/>
        <cfvo type="num" val="5"/>
        <color rgb="FF00B050"/>
        <color rgb="FFFFEB84"/>
        <color rgb="FFFF0000"/>
      </colorScale>
    </cfRule>
  </conditionalFormatting>
  <conditionalFormatting sqref="W18 W14">
    <cfRule type="colorScale" priority="674">
      <colorScale>
        <cfvo type="min"/>
        <cfvo type="percentile" val="50"/>
        <cfvo type="max"/>
        <color rgb="FF63BE7B"/>
        <color rgb="FFFFEB84"/>
        <color rgb="FFF8696B"/>
      </colorScale>
    </cfRule>
  </conditionalFormatting>
  <conditionalFormatting sqref="W19:W20">
    <cfRule type="colorScale" priority="3">
      <colorScale>
        <cfvo type="num" val="-5"/>
        <cfvo type="num" val="0"/>
        <cfvo type="num" val="5"/>
        <color rgb="FF00B050"/>
        <color rgb="FFFFEB84"/>
        <color rgb="FFFF0000"/>
      </colorScale>
    </cfRule>
  </conditionalFormatting>
  <conditionalFormatting sqref="W22">
    <cfRule type="colorScale" priority="2">
      <colorScale>
        <cfvo type="num" val="-5"/>
        <cfvo type="num" val="0"/>
        <cfvo type="num" val="5"/>
        <color rgb="FF00B050"/>
        <color rgb="FFFFEB84"/>
        <color rgb="FFFF0000"/>
      </colorScale>
    </cfRule>
  </conditionalFormatting>
  <conditionalFormatting sqref="W23">
    <cfRule type="colorScale" priority="1">
      <colorScale>
        <cfvo type="num" val="-5"/>
        <cfvo type="num" val="0"/>
        <cfvo type="num" val="5"/>
        <color rgb="FF00B050"/>
        <color rgb="FFFFEB84"/>
        <color rgb="FFFF0000"/>
      </colorScale>
    </cfRule>
  </conditionalFormatting>
  <conditionalFormatting sqref="W26:W29">
    <cfRule type="colorScale" priority="18">
      <colorScale>
        <cfvo type="num" val="-5"/>
        <cfvo type="num" val="0"/>
        <cfvo type="num" val="5"/>
        <color rgb="FF00B050"/>
        <color rgb="FFFFEB84"/>
        <color rgb="FFFF0000"/>
      </colorScale>
    </cfRule>
  </conditionalFormatting>
  <conditionalFormatting sqref="W32:W33">
    <cfRule type="colorScale" priority="17">
      <colorScale>
        <cfvo type="num" val="-5"/>
        <cfvo type="num" val="0"/>
        <cfvo type="num" val="5"/>
        <color rgb="FF00B050"/>
        <color rgb="FFFFEB84"/>
        <color rgb="FFFF0000"/>
      </colorScale>
    </cfRule>
  </conditionalFormatting>
  <conditionalFormatting sqref="W34">
    <cfRule type="colorScale" priority="210">
      <colorScale>
        <cfvo type="min"/>
        <cfvo type="percentile" val="50"/>
        <cfvo type="max"/>
        <color rgb="FF63BE7B"/>
        <color rgb="FFFFEB84"/>
        <color rgb="FFF8696B"/>
      </colorScale>
    </cfRule>
    <cfRule type="colorScale" priority="218">
      <colorScale>
        <cfvo type="min"/>
        <cfvo type="percentile" val="50"/>
        <cfvo type="max"/>
        <color rgb="FF63BE7B"/>
        <color rgb="FFFFEB84"/>
        <color rgb="FFF8696B"/>
      </colorScale>
    </cfRule>
    <cfRule type="colorScale" priority="459">
      <colorScale>
        <cfvo type="min"/>
        <cfvo type="percentile" val="50"/>
        <cfvo type="max"/>
        <color rgb="FF63BE7B"/>
        <color rgb="FFFFEB84"/>
        <color rgb="FFF8696B"/>
      </colorScale>
    </cfRule>
    <cfRule type="colorScale" priority="202">
      <colorScale>
        <cfvo type="min"/>
        <cfvo type="percentile" val="50"/>
        <cfvo type="max"/>
        <color rgb="FF63BE7B"/>
        <color rgb="FFFFEB84"/>
        <color rgb="FFF8696B"/>
      </colorScale>
    </cfRule>
    <cfRule type="expression" dxfId="16" priority="220">
      <formula>#REF!="nee"</formula>
    </cfRule>
    <cfRule type="colorScale" priority="204">
      <colorScale>
        <cfvo type="min"/>
        <cfvo type="percentile" val="50"/>
        <cfvo type="max"/>
        <color rgb="FF63BE7B"/>
        <color rgb="FFFFEB84"/>
        <color rgb="FFF8696B"/>
      </colorScale>
    </cfRule>
    <cfRule type="expression" dxfId="15" priority="205">
      <formula>#REF!="Nee"</formula>
    </cfRule>
    <cfRule type="colorScale" priority="206">
      <colorScale>
        <cfvo type="num" val="-100"/>
        <cfvo type="num" val="0"/>
        <cfvo type="num" val="100"/>
        <color rgb="FF00B050"/>
        <color rgb="FFFFEB84"/>
        <color rgb="FFD8293D"/>
      </colorScale>
    </cfRule>
    <cfRule type="colorScale" priority="208">
      <colorScale>
        <cfvo type="min"/>
        <cfvo type="percentile" val="50"/>
        <cfvo type="max"/>
        <color rgb="FFF8696B"/>
        <color rgb="FFFFEB84"/>
        <color rgb="FF63BE7B"/>
      </colorScale>
    </cfRule>
    <cfRule type="colorScale" priority="209">
      <colorScale>
        <cfvo type="min"/>
        <cfvo type="percentile" val="50"/>
        <cfvo type="max"/>
        <color rgb="FF63BE7B"/>
        <color rgb="FFFFEB84"/>
        <color rgb="FFF8696B"/>
      </colorScale>
    </cfRule>
    <cfRule type="colorScale" priority="219">
      <colorScale>
        <cfvo type="min"/>
        <cfvo type="percentile" val="50"/>
        <cfvo type="max"/>
        <color rgb="FF63BE7B"/>
        <color rgb="FFFFEB84"/>
        <color rgb="FFF8696B"/>
      </colorScale>
    </cfRule>
    <cfRule type="colorScale" priority="212">
      <colorScale>
        <cfvo type="min"/>
        <cfvo type="percentile" val="50"/>
        <cfvo type="max"/>
        <color rgb="FF63BE7B"/>
        <color rgb="FFFFEB84"/>
        <color rgb="FFF8696B"/>
      </colorScale>
    </cfRule>
    <cfRule type="colorScale" priority="213">
      <colorScale>
        <cfvo type="min"/>
        <cfvo type="percentile" val="50"/>
        <cfvo type="max"/>
        <color rgb="FF63BE7B"/>
        <color rgb="FFFFEB84"/>
        <color rgb="FFF8696B"/>
      </colorScale>
    </cfRule>
    <cfRule type="colorScale" priority="214">
      <colorScale>
        <cfvo type="min"/>
        <cfvo type="percentile" val="50"/>
        <cfvo type="max"/>
        <color rgb="FF63BE7B"/>
        <color rgb="FFFFEB84"/>
        <color rgb="FFF8696B"/>
      </colorScale>
    </cfRule>
    <cfRule type="colorScale" priority="216">
      <colorScale>
        <cfvo type="min"/>
        <cfvo type="percentile" val="50"/>
        <cfvo type="max"/>
        <color rgb="FF63BE7B"/>
        <color rgb="FFFFEB84"/>
        <color rgb="FFF8696B"/>
      </colorScale>
    </cfRule>
  </conditionalFormatting>
  <conditionalFormatting sqref="W34:W35">
    <cfRule type="colorScale" priority="414">
      <colorScale>
        <cfvo type="min"/>
        <cfvo type="percentile" val="50"/>
        <cfvo type="max"/>
        <color rgb="FF63BE7B"/>
        <color rgb="FFFFEB84"/>
        <color rgb="FFF8696B"/>
      </colorScale>
    </cfRule>
    <cfRule type="colorScale" priority="463">
      <colorScale>
        <cfvo type="min"/>
        <cfvo type="percentile" val="50"/>
        <cfvo type="max"/>
        <color rgb="FF63BE7B"/>
        <color rgb="FFFFEB84"/>
        <color rgb="FFF8696B"/>
      </colorScale>
    </cfRule>
  </conditionalFormatting>
  <conditionalFormatting sqref="W36:W40">
    <cfRule type="colorScale" priority="16">
      <colorScale>
        <cfvo type="num" val="-5"/>
        <cfvo type="num" val="0"/>
        <cfvo type="num" val="5"/>
        <color rgb="FF00B050"/>
        <color rgb="FFFFEB84"/>
        <color rgb="FFFF0000"/>
      </colorScale>
    </cfRule>
  </conditionalFormatting>
  <conditionalFormatting sqref="W43">
    <cfRule type="colorScale" priority="443">
      <colorScale>
        <cfvo type="min"/>
        <cfvo type="percentile" val="50"/>
        <cfvo type="max"/>
        <color rgb="FF63BE7B"/>
        <color rgb="FFFFEB84"/>
        <color rgb="FFF8696B"/>
      </colorScale>
    </cfRule>
  </conditionalFormatting>
  <conditionalFormatting sqref="W43:W44 W51">
    <cfRule type="colorScale" priority="418">
      <colorScale>
        <cfvo type="min"/>
        <cfvo type="percentile" val="50"/>
        <cfvo type="max"/>
        <color rgb="FFF8696B"/>
        <color rgb="FFFFEB84"/>
        <color rgb="FF63BE7B"/>
      </colorScale>
    </cfRule>
  </conditionalFormatting>
  <conditionalFormatting sqref="W44">
    <cfRule type="colorScale" priority="439">
      <colorScale>
        <cfvo type="min"/>
        <cfvo type="percentile" val="50"/>
        <cfvo type="max"/>
        <color rgb="FF63BE7B"/>
        <color rgb="FFFFEB84"/>
        <color rgb="FFF8696B"/>
      </colorScale>
    </cfRule>
    <cfRule type="colorScale" priority="341">
      <colorScale>
        <cfvo type="min"/>
        <cfvo type="percentile" val="50"/>
        <cfvo type="max"/>
        <color rgb="FF63BE7B"/>
        <color rgb="FFFFEB84"/>
        <color rgb="FFF8696B"/>
      </colorScale>
    </cfRule>
  </conditionalFormatting>
  <conditionalFormatting sqref="W46:W50">
    <cfRule type="colorScale" priority="15">
      <colorScale>
        <cfvo type="num" val="-5"/>
        <cfvo type="num" val="0"/>
        <cfvo type="num" val="5"/>
        <color rgb="FF00B050"/>
        <color rgb="FFFFEB84"/>
        <color rgb="FFFF0000"/>
      </colorScale>
    </cfRule>
  </conditionalFormatting>
  <conditionalFormatting sqref="W51">
    <cfRule type="colorScale" priority="767">
      <colorScale>
        <cfvo type="min"/>
        <cfvo type="percentile" val="50"/>
        <cfvo type="max"/>
        <color rgb="FF63BE7B"/>
        <color rgb="FFFFEB84"/>
        <color rgb="FFF8696B"/>
      </colorScale>
    </cfRule>
    <cfRule type="colorScale" priority="399">
      <colorScale>
        <cfvo type="min"/>
        <cfvo type="percentile" val="50"/>
        <cfvo type="max"/>
        <color rgb="FF63BE7B"/>
        <color rgb="FFFFEB84"/>
        <color rgb="FFF8696B"/>
      </colorScale>
    </cfRule>
    <cfRule type="colorScale" priority="833">
      <colorScale>
        <cfvo type="min"/>
        <cfvo type="percentile" val="50"/>
        <cfvo type="max"/>
        <color rgb="FF63BE7B"/>
        <color rgb="FFFFEB84"/>
        <color rgb="FFF8696B"/>
      </colorScale>
    </cfRule>
  </conditionalFormatting>
  <conditionalFormatting sqref="W52">
    <cfRule type="colorScale" priority="291">
      <colorScale>
        <cfvo type="min"/>
        <cfvo type="percentile" val="50"/>
        <cfvo type="max"/>
        <color rgb="FF63BE7B"/>
        <color rgb="FFFFEB84"/>
        <color rgb="FFF8696B"/>
      </colorScale>
    </cfRule>
    <cfRule type="colorScale" priority="290">
      <colorScale>
        <cfvo type="min"/>
        <cfvo type="percentile" val="50"/>
        <cfvo type="max"/>
        <color rgb="FF63BE7B"/>
        <color rgb="FFFFEB84"/>
        <color rgb="FFF8696B"/>
      </colorScale>
    </cfRule>
    <cfRule type="colorScale" priority="286">
      <colorScale>
        <cfvo type="min"/>
        <cfvo type="percentile" val="50"/>
        <cfvo type="max"/>
        <color rgb="FF63BE7B"/>
        <color rgb="FFFFEB84"/>
        <color rgb="FFF8696B"/>
      </colorScale>
    </cfRule>
    <cfRule type="colorScale" priority="285">
      <colorScale>
        <cfvo type="min"/>
        <cfvo type="percentile" val="50"/>
        <cfvo type="max"/>
        <color rgb="FF63BE7B"/>
        <color rgb="FFFFEB84"/>
        <color rgb="FFF8696B"/>
      </colorScale>
    </cfRule>
    <cfRule type="colorScale" priority="284">
      <colorScale>
        <cfvo type="min"/>
        <cfvo type="percentile" val="50"/>
        <cfvo type="max"/>
        <color rgb="FFF8696B"/>
        <color rgb="FFFFEB84"/>
        <color rgb="FF63BE7B"/>
      </colorScale>
    </cfRule>
    <cfRule type="colorScale" priority="282">
      <colorScale>
        <cfvo type="num" val="-100"/>
        <cfvo type="num" val="0"/>
        <cfvo type="num" val="100"/>
        <color rgb="FF00B050"/>
        <color rgb="FFFFEB84"/>
        <color rgb="FFD8293D"/>
      </colorScale>
    </cfRule>
    <cfRule type="expression" dxfId="14" priority="281">
      <formula>#REF!="Nee"</formula>
    </cfRule>
    <cfRule type="colorScale" priority="280">
      <colorScale>
        <cfvo type="min"/>
        <cfvo type="percentile" val="50"/>
        <cfvo type="max"/>
        <color rgb="FF63BE7B"/>
        <color rgb="FFFFEB84"/>
        <color rgb="FFF8696B"/>
      </colorScale>
    </cfRule>
    <cfRule type="colorScale" priority="278">
      <colorScale>
        <cfvo type="min"/>
        <cfvo type="percentile" val="50"/>
        <cfvo type="max"/>
        <color rgb="FF63BE7B"/>
        <color rgb="FFFFEB84"/>
        <color rgb="FFF8696B"/>
      </colorScale>
    </cfRule>
  </conditionalFormatting>
  <conditionalFormatting sqref="W34:X35">
    <cfRule type="expression" dxfId="13" priority="203">
      <formula>#REF!="Nee"</formula>
    </cfRule>
  </conditionalFormatting>
  <conditionalFormatting sqref="W43:X44">
    <cfRule type="expression" dxfId="12" priority="301">
      <formula>#REF!="nee"</formula>
    </cfRule>
    <cfRule type="expression" dxfId="11" priority="300">
      <formula>#REF!="Nee"</formula>
    </cfRule>
  </conditionalFormatting>
  <conditionalFormatting sqref="W51:X52">
    <cfRule type="expression" dxfId="10" priority="273">
      <formula>#REF!="nee"</formula>
    </cfRule>
    <cfRule type="expression" dxfId="9" priority="272">
      <formula>#REF!="Nee"</formula>
    </cfRule>
  </conditionalFormatting>
  <conditionalFormatting sqref="X12:X13">
    <cfRule type="colorScale" priority="234">
      <colorScale>
        <cfvo type="num" val="-0.1"/>
        <cfvo type="num" val="0"/>
        <cfvo type="num" val="0.1"/>
        <color rgb="FF00B050"/>
        <color rgb="FFFFEB84"/>
        <color rgb="FFFF0000"/>
      </colorScale>
    </cfRule>
  </conditionalFormatting>
  <conditionalFormatting sqref="X15:X17">
    <cfRule type="colorScale" priority="14">
      <colorScale>
        <cfvo type="num" val="-0.1"/>
        <cfvo type="num" val="0"/>
        <cfvo type="num" val="0.1"/>
        <color rgb="FF00B050"/>
        <color rgb="FFFFEB84"/>
        <color rgb="FFFF0000"/>
      </colorScale>
    </cfRule>
  </conditionalFormatting>
  <conditionalFormatting sqref="X19:X20">
    <cfRule type="colorScale" priority="13">
      <colorScale>
        <cfvo type="num" val="-0.1"/>
        <cfvo type="num" val="0"/>
        <cfvo type="num" val="0.1"/>
        <color rgb="FF00B050"/>
        <color rgb="FFFFEB84"/>
        <color rgb="FFFF0000"/>
      </colorScale>
    </cfRule>
  </conditionalFormatting>
  <conditionalFormatting sqref="X22:X23">
    <cfRule type="colorScale" priority="12">
      <colorScale>
        <cfvo type="num" val="-0.1"/>
        <cfvo type="num" val="0"/>
        <cfvo type="num" val="0.1"/>
        <color rgb="FF00B050"/>
        <color rgb="FFFFEB84"/>
        <color rgb="FFFF0000"/>
      </colorScale>
    </cfRule>
  </conditionalFormatting>
  <conditionalFormatting sqref="X25">
    <cfRule type="colorScale" priority="263">
      <colorScale>
        <cfvo type="min"/>
        <cfvo type="percentile" val="50"/>
        <cfvo type="max"/>
        <color rgb="FF63BE7B"/>
        <color rgb="FFFFEB84"/>
        <color rgb="FFF8696B"/>
      </colorScale>
    </cfRule>
  </conditionalFormatting>
  <conditionalFormatting sqref="X26:X27">
    <cfRule type="colorScale" priority="11">
      <colorScale>
        <cfvo type="num" val="-0.1"/>
        <cfvo type="num" val="0"/>
        <cfvo type="num" val="0.1"/>
        <color rgb="FF00B050"/>
        <color rgb="FFFFEB84"/>
        <color rgb="FFFF0000"/>
      </colorScale>
    </cfRule>
  </conditionalFormatting>
  <conditionalFormatting sqref="X28:X29">
    <cfRule type="colorScale" priority="10">
      <colorScale>
        <cfvo type="num" val="-0.1"/>
        <cfvo type="num" val="0"/>
        <cfvo type="num" val="0.1"/>
        <color rgb="FF00B050"/>
        <color rgb="FFFFEB84"/>
        <color rgb="FFFF0000"/>
      </colorScale>
    </cfRule>
  </conditionalFormatting>
  <conditionalFormatting sqref="X30">
    <cfRule type="colorScale" priority="238">
      <colorScale>
        <cfvo type="min"/>
        <cfvo type="num" val="0"/>
        <cfvo type="max"/>
        <color rgb="FF00B050"/>
        <color rgb="FFFFEB84"/>
        <color rgb="FFFF0000"/>
      </colorScale>
    </cfRule>
  </conditionalFormatting>
  <conditionalFormatting sqref="X32:X33">
    <cfRule type="colorScale" priority="9">
      <colorScale>
        <cfvo type="num" val="-0.1"/>
        <cfvo type="num" val="0"/>
        <cfvo type="num" val="0.1"/>
        <color rgb="FF00B050"/>
        <color rgb="FFFFEB84"/>
        <color rgb="FFFF0000"/>
      </colorScale>
    </cfRule>
  </conditionalFormatting>
  <conditionalFormatting sqref="X34:X35">
    <cfRule type="colorScale" priority="313">
      <colorScale>
        <cfvo type="min"/>
        <cfvo type="percentile" val="50"/>
        <cfvo type="max"/>
        <color rgb="FFF8696B"/>
        <color rgb="FFFFEB84"/>
        <color rgb="FF63BE7B"/>
      </colorScale>
    </cfRule>
    <cfRule type="expression" dxfId="8" priority="315">
      <formula>#REF!="nee"</formula>
    </cfRule>
    <cfRule type="colorScale" priority="317">
      <colorScale>
        <cfvo type="min"/>
        <cfvo type="percentile" val="50"/>
        <cfvo type="max"/>
        <color rgb="FF63BE7B"/>
        <color rgb="FFFFEB84"/>
        <color rgb="FFF8696B"/>
      </colorScale>
    </cfRule>
  </conditionalFormatting>
  <conditionalFormatting sqref="X36:X40">
    <cfRule type="colorScale" priority="8">
      <colorScale>
        <cfvo type="num" val="-0.1"/>
        <cfvo type="num" val="0"/>
        <cfvo type="num" val="0.1"/>
        <color rgb="FF00B050"/>
        <color rgb="FFFFEB84"/>
        <color rgb="FFFF0000"/>
      </colorScale>
    </cfRule>
  </conditionalFormatting>
  <conditionalFormatting sqref="X43:X44">
    <cfRule type="colorScale" priority="299">
      <colorScale>
        <cfvo type="min"/>
        <cfvo type="percentile" val="50"/>
        <cfvo type="max"/>
        <color rgb="FFF8696B"/>
        <color rgb="FFFFEB84"/>
        <color rgb="FF63BE7B"/>
      </colorScale>
    </cfRule>
    <cfRule type="colorScale" priority="303">
      <colorScale>
        <cfvo type="min"/>
        <cfvo type="percentile" val="50"/>
        <cfvo type="max"/>
        <color rgb="FF63BE7B"/>
        <color rgb="FFFFEB84"/>
        <color rgb="FFF8696B"/>
      </colorScale>
    </cfRule>
  </conditionalFormatting>
  <conditionalFormatting sqref="X46:X50">
    <cfRule type="colorScale" priority="7">
      <colorScale>
        <cfvo type="num" val="-0.1"/>
        <cfvo type="num" val="0"/>
        <cfvo type="num" val="0.1"/>
        <color rgb="FF00B050"/>
        <color rgb="FFFFEB84"/>
        <color rgb="FFFF0000"/>
      </colorScale>
    </cfRule>
  </conditionalFormatting>
  <conditionalFormatting sqref="X51">
    <cfRule type="colorScale" priority="867">
      <colorScale>
        <cfvo type="min"/>
        <cfvo type="percentile" val="50"/>
        <cfvo type="max"/>
        <color rgb="FF63BE7B"/>
        <color rgb="FFFFEB84"/>
        <color rgb="FFF8696B"/>
      </colorScale>
    </cfRule>
    <cfRule type="colorScale" priority="769">
      <colorScale>
        <cfvo type="min"/>
        <cfvo type="percentile" val="50"/>
        <cfvo type="max"/>
        <color rgb="FF63BE7B"/>
        <color rgb="FFFFEB84"/>
        <color rgb="FFF8696B"/>
      </colorScale>
    </cfRule>
    <cfRule type="colorScale" priority="398">
      <colorScale>
        <cfvo type="min"/>
        <cfvo type="percentile" val="50"/>
        <cfvo type="max"/>
        <color rgb="FF63BE7B"/>
        <color rgb="FFFFEB84"/>
        <color rgb="FFF8696B"/>
      </colorScale>
    </cfRule>
    <cfRule type="colorScale" priority="417">
      <colorScale>
        <cfvo type="min"/>
        <cfvo type="percentile" val="50"/>
        <cfvo type="max"/>
        <color rgb="FF63BE7B"/>
        <color rgb="FFFFEB84"/>
        <color rgb="FFF8696B"/>
      </colorScale>
    </cfRule>
  </conditionalFormatting>
  <conditionalFormatting sqref="X52">
    <cfRule type="colorScale" priority="275">
      <colorScale>
        <cfvo type="min"/>
        <cfvo type="percentile" val="50"/>
        <cfvo type="max"/>
        <color rgb="FF63BE7B"/>
        <color rgb="FFFFEB84"/>
        <color rgb="FFF8696B"/>
      </colorScale>
    </cfRule>
    <cfRule type="colorScale" priority="271">
      <colorScale>
        <cfvo type="min"/>
        <cfvo type="percentile" val="50"/>
        <cfvo type="max"/>
        <color rgb="FFF8696B"/>
        <color rgb="FFFFEB84"/>
        <color rgb="FF63BE7B"/>
      </colorScale>
    </cfRule>
  </conditionalFormatting>
  <conditionalFormatting sqref="X14:Y14 X21:Y21 X18:Y18 Y19">
    <cfRule type="colorScale" priority="524">
      <colorScale>
        <cfvo type="min"/>
        <cfvo type="percentile" val="50"/>
        <cfvo type="max"/>
        <color rgb="FF63BE7B"/>
        <color rgb="FFFFEB84"/>
        <color rgb="FFF8696B"/>
      </colorScale>
    </cfRule>
  </conditionalFormatting>
  <conditionalFormatting sqref="Y12:Y13 Y20 Y22:Y23">
    <cfRule type="colorScale" priority="498">
      <colorScale>
        <cfvo type="min"/>
        <cfvo type="percentile" val="50"/>
        <cfvo type="max"/>
        <color rgb="FF63BE7B"/>
        <color rgb="FFFFEB84"/>
        <color rgb="FFF8696B"/>
      </colorScale>
    </cfRule>
  </conditionalFormatting>
  <conditionalFormatting sqref="Y15:Y17">
    <cfRule type="colorScale" priority="235">
      <colorScale>
        <cfvo type="min"/>
        <cfvo type="num" val="0"/>
        <cfvo type="max"/>
        <color rgb="FF00B050"/>
        <color rgb="FFFFEB84"/>
        <color rgb="FFFF0000"/>
      </colorScale>
    </cfRule>
  </conditionalFormatting>
  <conditionalFormatting sqref="Y23:Z23">
    <cfRule type="expression" dxfId="7" priority="353">
      <formula>#REF!="nee"</formula>
    </cfRule>
  </conditionalFormatting>
  <conditionalFormatting sqref="Y12:AB13 Z15:AB17 Y22:AB22 Y22:Y23">
    <cfRule type="expression" dxfId="6" priority="606">
      <formula>#REF!="Nee"</formula>
    </cfRule>
  </conditionalFormatting>
  <conditionalFormatting sqref="Y20:AB20">
    <cfRule type="expression" dxfId="5" priority="553">
      <formula>#REF!="Nee"</formula>
    </cfRule>
    <cfRule type="expression" dxfId="4" priority="552">
      <formula>#REF!="nee"</formula>
    </cfRule>
  </conditionalFormatting>
  <conditionalFormatting sqref="Z12:Z13">
    <cfRule type="colorScale" priority="500">
      <colorScale>
        <cfvo type="min"/>
        <cfvo type="percentile" val="50"/>
        <cfvo type="max"/>
        <color rgb="FF63BE7B"/>
        <color rgb="FFFFEB84"/>
        <color rgb="FFF8696B"/>
      </colorScale>
    </cfRule>
  </conditionalFormatting>
  <conditionalFormatting sqref="Z12:Z22">
    <cfRule type="colorScale" priority="491">
      <colorScale>
        <cfvo type="min"/>
        <cfvo type="percentile" val="50"/>
        <cfvo type="max"/>
        <color rgb="FF63BE7B"/>
        <color rgb="FFFFEB84"/>
        <color rgb="FFF8696B"/>
      </colorScale>
    </cfRule>
  </conditionalFormatting>
  <conditionalFormatting sqref="Z15">
    <cfRule type="colorScale" priority="497">
      <colorScale>
        <cfvo type="min"/>
        <cfvo type="percentile" val="50"/>
        <cfvo type="max"/>
        <color rgb="FF63BE7B"/>
        <color rgb="FFFFEB84"/>
        <color rgb="FFF8696B"/>
      </colorScale>
    </cfRule>
  </conditionalFormatting>
  <conditionalFormatting sqref="Z15:Z17">
    <cfRule type="colorScale" priority="501">
      <colorScale>
        <cfvo type="min"/>
        <cfvo type="percentile" val="50"/>
        <cfvo type="max"/>
        <color rgb="FF63BE7B"/>
        <color rgb="FFFFEB84"/>
        <color rgb="FFF8696B"/>
      </colorScale>
    </cfRule>
  </conditionalFormatting>
  <conditionalFormatting sqref="Z16">
    <cfRule type="colorScale" priority="496">
      <colorScale>
        <cfvo type="min"/>
        <cfvo type="percentile" val="50"/>
        <cfvo type="max"/>
        <color rgb="FF63BE7B"/>
        <color rgb="FFFFEB84"/>
        <color rgb="FFF8696B"/>
      </colorScale>
    </cfRule>
  </conditionalFormatting>
  <conditionalFormatting sqref="Z17">
    <cfRule type="colorScale" priority="495">
      <colorScale>
        <cfvo type="min"/>
        <cfvo type="percentile" val="50"/>
        <cfvo type="max"/>
        <color rgb="FF63BE7B"/>
        <color rgb="FFFFEB84"/>
        <color rgb="FFF8696B"/>
      </colorScale>
    </cfRule>
  </conditionalFormatting>
  <conditionalFormatting sqref="Z20">
    <cfRule type="colorScale" priority="502">
      <colorScale>
        <cfvo type="min"/>
        <cfvo type="percentile" val="50"/>
        <cfvo type="max"/>
        <color rgb="FF63BE7B"/>
        <color rgb="FFFFEB84"/>
        <color rgb="FFF8696B"/>
      </colorScale>
    </cfRule>
  </conditionalFormatting>
  <conditionalFormatting sqref="Z22">
    <cfRule type="colorScale" priority="499">
      <colorScale>
        <cfvo type="min"/>
        <cfvo type="percentile" val="50"/>
        <cfvo type="max"/>
        <color rgb="FF63BE7B"/>
        <color rgb="FFFFEB84"/>
        <color rgb="FFF8696B"/>
      </colorScale>
    </cfRule>
  </conditionalFormatting>
  <conditionalFormatting sqref="Z23">
    <cfRule type="expression" dxfId="3" priority="354">
      <formula>#REF!="Nee"</formula>
    </cfRule>
    <cfRule type="colorScale" priority="352">
      <colorScale>
        <cfvo type="min"/>
        <cfvo type="percentile" val="50"/>
        <cfvo type="max"/>
        <color rgb="FF63BE7B"/>
        <color rgb="FFFFEB84"/>
        <color rgb="FFF8696B"/>
      </colorScale>
    </cfRule>
  </conditionalFormatting>
  <conditionalFormatting sqref="Z15:AB17 Y22:AB22">
    <cfRule type="expression" dxfId="2" priority="605">
      <formula>#REF!="nee"</formula>
    </cfRule>
  </conditionalFormatting>
  <conditionalFormatting sqref="AC53">
    <cfRule type="colorScale" priority="261">
      <colorScale>
        <cfvo type="min"/>
        <cfvo type="percentile" val="50"/>
        <cfvo type="max"/>
        <color rgb="FF63BE7B"/>
        <color rgb="FFFFEB84"/>
        <color rgb="FFF8696B"/>
      </colorScale>
    </cfRule>
    <cfRule type="colorScale" priority="257">
      <colorScale>
        <cfvo type="min"/>
        <cfvo type="percentile" val="50"/>
        <cfvo type="max"/>
        <color rgb="FF63BE7B"/>
        <color rgb="FFFFEB84"/>
        <color rgb="FFF8696B"/>
      </colorScale>
    </cfRule>
    <cfRule type="colorScale" priority="256">
      <colorScale>
        <cfvo type="min"/>
        <cfvo type="percentile" val="50"/>
        <cfvo type="max"/>
        <color rgb="FF63BE7B"/>
        <color rgb="FFFFEB84"/>
        <color rgb="FFF8696B"/>
      </colorScale>
    </cfRule>
    <cfRule type="colorScale" priority="262">
      <colorScale>
        <cfvo type="min"/>
        <cfvo type="percentile" val="50"/>
        <cfvo type="max"/>
        <color rgb="FF63BE7B"/>
        <color rgb="FFFFEB84"/>
        <color rgb="FFF8696B"/>
      </colorScale>
    </cfRule>
    <cfRule type="colorScale" priority="255">
      <colorScale>
        <cfvo type="min"/>
        <cfvo type="percentile" val="50"/>
        <cfvo type="max"/>
        <color rgb="FFF8696B"/>
        <color rgb="FFFFEB84"/>
        <color rgb="FF63BE7B"/>
      </colorScale>
    </cfRule>
    <cfRule type="colorScale" priority="249">
      <colorScale>
        <cfvo type="min"/>
        <cfvo type="percentile" val="50"/>
        <cfvo type="max"/>
        <color rgb="FF63BE7B"/>
        <color rgb="FFFFEB84"/>
        <color rgb="FFF8696B"/>
      </colorScale>
    </cfRule>
    <cfRule type="colorScale" priority="251">
      <colorScale>
        <cfvo type="min"/>
        <cfvo type="percentile" val="50"/>
        <cfvo type="max"/>
        <color rgb="FF63BE7B"/>
        <color rgb="FFFFEB84"/>
        <color rgb="FFF8696B"/>
      </colorScale>
    </cfRule>
    <cfRule type="colorScale" priority="253">
      <colorScale>
        <cfvo type="num" val="-100"/>
        <cfvo type="num" val="0"/>
        <cfvo type="num" val="100"/>
        <color rgb="FF00B050"/>
        <color rgb="FFFFEB84"/>
        <color rgb="FFD8293D"/>
      </colorScale>
    </cfRule>
  </conditionalFormatting>
  <conditionalFormatting sqref="AC53:AD53">
    <cfRule type="expression" dxfId="1" priority="243">
      <formula>#REF!="Nee"</formula>
    </cfRule>
    <cfRule type="expression" dxfId="0" priority="244">
      <formula>#REF!="nee"</formula>
    </cfRule>
  </conditionalFormatting>
  <conditionalFormatting sqref="AD53">
    <cfRule type="colorScale" priority="242">
      <colorScale>
        <cfvo type="min"/>
        <cfvo type="percentile" val="50"/>
        <cfvo type="max"/>
        <color rgb="FFF8696B"/>
        <color rgb="FFFFEB84"/>
        <color rgb="FF63BE7B"/>
      </colorScale>
    </cfRule>
    <cfRule type="colorScale" priority="246">
      <colorScale>
        <cfvo type="min"/>
        <cfvo type="percentile" val="50"/>
        <cfvo type="max"/>
        <color rgb="FF63BE7B"/>
        <color rgb="FFFFEB84"/>
        <color rgb="FFF8696B"/>
      </colorScale>
    </cfRule>
  </conditionalFormatting>
  <hyperlinks>
    <hyperlink ref="A12" location="Dieselverbruik!A1" display="Dieselverbruik bussen" xr:uid="{00000000-0004-0000-0C00-000000000000}"/>
    <hyperlink ref="A15" location="'Mobiele werktuigen'!A1" display="Materieel (mobiele werktuigen): diesel" xr:uid="{00000000-0004-0000-0C00-000001000000}"/>
    <hyperlink ref="A20" location="Elektriciteit!A1" display="Grijze stroom Brakel" xr:uid="{00000000-0004-0000-0C00-000002000000}"/>
    <hyperlink ref="A22" location="Aardgas!A1" display="Aardgas voor verwarming " xr:uid="{00000000-0004-0000-0C00-000003000000}"/>
  </hyperlinks>
  <pageMargins left="0.23622047244094491" right="0.23622047244094491" top="0.74803149606299213" bottom="0.74803149606299213" header="0.31496062992125984" footer="0.31496062992125984"/>
  <pageSetup paperSize="9" scale="42" orientation="landscape" r:id="rId1"/>
  <headerFooter>
    <oddHeader>&amp;R&amp;G</oddHeader>
  </headerFooter>
  <drawing r:id="rId2"/>
  <legacyDrawing r:id="rId3"/>
  <legacyDrawingHF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F6392-550E-4C73-BA0F-3FBB7FC91297}">
  <dimension ref="A2:D6"/>
  <sheetViews>
    <sheetView workbookViewId="0">
      <selection activeCell="D37" sqref="D37"/>
    </sheetView>
  </sheetViews>
  <sheetFormatPr baseColWidth="10" defaultColWidth="8.83203125" defaultRowHeight="15" x14ac:dyDescent="0.2"/>
  <sheetData>
    <row r="2" spans="1:4" x14ac:dyDescent="0.2">
      <c r="A2" t="s">
        <v>258</v>
      </c>
      <c r="B2">
        <v>2017</v>
      </c>
      <c r="D2" t="s">
        <v>262</v>
      </c>
    </row>
    <row r="3" spans="1:4" x14ac:dyDescent="0.2">
      <c r="A3" t="s">
        <v>259</v>
      </c>
      <c r="B3">
        <v>125139.75</v>
      </c>
    </row>
    <row r="4" spans="1:4" x14ac:dyDescent="0.2">
      <c r="A4" t="s">
        <v>260</v>
      </c>
      <c r="B4">
        <f>82.64/1.3</f>
        <v>63.569230769230771</v>
      </c>
      <c r="C4" t="s">
        <v>261</v>
      </c>
    </row>
    <row r="6" spans="1:4" x14ac:dyDescent="0.2">
      <c r="A6" t="s">
        <v>205</v>
      </c>
      <c r="B6">
        <f>SUM(B3:B4)</f>
        <v>125203.31923076924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6"/>
  <sheetViews>
    <sheetView topLeftCell="A17" workbookViewId="0">
      <selection activeCell="L42" sqref="L42"/>
    </sheetView>
  </sheetViews>
  <sheetFormatPr baseColWidth="10" defaultColWidth="9.1640625" defaultRowHeight="13" x14ac:dyDescent="0.15"/>
  <cols>
    <col min="1" max="1" width="11.33203125" style="91" customWidth="1"/>
    <col min="2" max="2" width="10.1640625" style="110" customWidth="1"/>
    <col min="3" max="3" width="10.1640625" style="91" customWidth="1"/>
    <col min="4" max="4" width="10.6640625" style="91" bestFit="1" customWidth="1"/>
    <col min="5" max="5" width="10.1640625" style="91" customWidth="1"/>
    <col min="6" max="6" width="17.33203125" style="91" customWidth="1"/>
    <col min="7" max="7" width="11.5" style="91" customWidth="1"/>
    <col min="8" max="8" width="10.1640625" style="91" customWidth="1"/>
    <col min="9" max="9" width="10.6640625" style="91" bestFit="1" customWidth="1"/>
    <col min="10" max="10" width="10.1640625" style="91" hidden="1" customWidth="1"/>
    <col min="11" max="11" width="10.6640625" style="91" hidden="1" customWidth="1"/>
    <col min="12" max="12" width="18.83203125" style="91" customWidth="1"/>
    <col min="13" max="13" width="9.1640625" style="91"/>
    <col min="14" max="14" width="10.1640625" style="91" customWidth="1"/>
    <col min="15" max="16384" width="9.1640625" style="91"/>
  </cols>
  <sheetData>
    <row r="1" spans="1:15" ht="21" thickBot="1" x14ac:dyDescent="0.25">
      <c r="A1" s="330" t="s">
        <v>14</v>
      </c>
      <c r="B1" s="331"/>
      <c r="C1" s="331"/>
      <c r="D1" s="331"/>
      <c r="E1" s="331"/>
      <c r="F1" s="331"/>
      <c r="G1" s="331"/>
      <c r="H1" s="331"/>
      <c r="I1" s="331"/>
      <c r="J1" s="331"/>
      <c r="K1" s="331"/>
      <c r="L1" s="332"/>
    </row>
    <row r="2" spans="1:15" ht="28" x14ac:dyDescent="0.15">
      <c r="A2" s="333" t="s">
        <v>199</v>
      </c>
      <c r="B2" s="335" t="s">
        <v>200</v>
      </c>
      <c r="C2" s="337" t="s">
        <v>217</v>
      </c>
      <c r="D2" s="338"/>
      <c r="E2" s="338" t="s">
        <v>218</v>
      </c>
      <c r="F2" s="338"/>
      <c r="G2" s="107" t="s">
        <v>201</v>
      </c>
      <c r="H2" s="338" t="s">
        <v>202</v>
      </c>
      <c r="I2" s="338"/>
      <c r="J2" s="338" t="s">
        <v>203</v>
      </c>
      <c r="K2" s="338"/>
      <c r="L2" s="335" t="s">
        <v>5</v>
      </c>
    </row>
    <row r="3" spans="1:15" ht="14" x14ac:dyDescent="0.15">
      <c r="A3" s="334"/>
      <c r="B3" s="336"/>
      <c r="C3" s="339" t="s">
        <v>2</v>
      </c>
      <c r="D3" s="327"/>
      <c r="E3" s="327" t="s">
        <v>2</v>
      </c>
      <c r="F3" s="327"/>
      <c r="G3" s="108" t="s">
        <v>204</v>
      </c>
      <c r="H3" s="327" t="s">
        <v>1</v>
      </c>
      <c r="I3" s="327"/>
      <c r="J3" s="327"/>
      <c r="K3" s="327"/>
      <c r="L3" s="336"/>
    </row>
    <row r="4" spans="1:15" ht="14" x14ac:dyDescent="0.15">
      <c r="A4" s="334"/>
      <c r="B4" s="336"/>
      <c r="C4" s="119" t="s">
        <v>216</v>
      </c>
      <c r="D4" s="112" t="s">
        <v>206</v>
      </c>
      <c r="E4" s="111" t="s">
        <v>216</v>
      </c>
      <c r="F4" s="112" t="s">
        <v>206</v>
      </c>
      <c r="G4" s="112" t="s">
        <v>207</v>
      </c>
      <c r="H4" s="111" t="s">
        <v>216</v>
      </c>
      <c r="I4" s="112" t="s">
        <v>206</v>
      </c>
      <c r="J4" s="111" t="s">
        <v>216</v>
      </c>
      <c r="K4" s="112" t="s">
        <v>206</v>
      </c>
      <c r="L4" s="336"/>
      <c r="M4" s="91" t="s">
        <v>236</v>
      </c>
      <c r="O4" s="91" t="s">
        <v>237</v>
      </c>
    </row>
    <row r="5" spans="1:15" x14ac:dyDescent="0.15">
      <c r="A5" s="113"/>
      <c r="B5" s="109"/>
      <c r="C5" s="120"/>
      <c r="D5" s="122"/>
      <c r="E5" s="122"/>
      <c r="F5" s="122"/>
      <c r="G5" s="122"/>
      <c r="H5" s="122"/>
      <c r="I5" s="122"/>
      <c r="J5" s="122"/>
      <c r="K5" s="122"/>
      <c r="L5" s="126"/>
      <c r="O5" s="91">
        <f>408.98/3428</f>
        <v>0.11930571761960328</v>
      </c>
    </row>
    <row r="6" spans="1:15" x14ac:dyDescent="0.15">
      <c r="A6" s="114">
        <v>41299</v>
      </c>
      <c r="B6" s="109"/>
      <c r="C6" s="120">
        <v>103368</v>
      </c>
      <c r="D6" s="122"/>
      <c r="E6" s="122">
        <v>169385</v>
      </c>
      <c r="F6" s="122"/>
      <c r="G6" s="122"/>
      <c r="H6" s="122">
        <v>187027</v>
      </c>
      <c r="I6" s="122"/>
      <c r="J6" s="122">
        <v>80</v>
      </c>
      <c r="K6" s="122"/>
      <c r="L6" s="126"/>
    </row>
    <row r="7" spans="1:15" x14ac:dyDescent="0.15">
      <c r="A7" s="114">
        <v>41456</v>
      </c>
      <c r="B7" s="109" t="s">
        <v>208</v>
      </c>
      <c r="C7" s="120">
        <v>107372</v>
      </c>
      <c r="D7" s="122">
        <f>C7-C6</f>
        <v>4004</v>
      </c>
      <c r="E7" s="122">
        <v>188457</v>
      </c>
      <c r="F7" s="122">
        <f>E7-E6</f>
        <v>19072</v>
      </c>
      <c r="G7" s="122">
        <f>D7+F7</f>
        <v>23076</v>
      </c>
      <c r="H7" s="122">
        <v>193513</v>
      </c>
      <c r="I7" s="122">
        <f>H7-H6</f>
        <v>6486</v>
      </c>
      <c r="J7" s="122">
        <v>166</v>
      </c>
      <c r="K7" s="122">
        <f>J7-J6</f>
        <v>86</v>
      </c>
      <c r="L7" s="126"/>
    </row>
    <row r="8" spans="1:15" x14ac:dyDescent="0.15">
      <c r="A8" s="114">
        <v>41635</v>
      </c>
      <c r="B8" s="109" t="s">
        <v>209</v>
      </c>
      <c r="C8" s="120">
        <v>107637</v>
      </c>
      <c r="D8" s="122">
        <f>C8-C7</f>
        <v>265</v>
      </c>
      <c r="E8" s="122">
        <v>208319</v>
      </c>
      <c r="F8" s="122">
        <f>E8-E7</f>
        <v>19862</v>
      </c>
      <c r="G8" s="122">
        <f>D8+F8</f>
        <v>20127</v>
      </c>
      <c r="H8" s="122">
        <v>198319</v>
      </c>
      <c r="I8" s="122">
        <f>H8-H7</f>
        <v>4806</v>
      </c>
      <c r="J8" s="122">
        <v>258</v>
      </c>
      <c r="K8" s="122">
        <f>J8-J7</f>
        <v>92</v>
      </c>
      <c r="L8" s="126"/>
    </row>
    <row r="9" spans="1:15" x14ac:dyDescent="0.15">
      <c r="A9" s="328" t="s">
        <v>210</v>
      </c>
      <c r="B9" s="329"/>
      <c r="C9" s="120" t="s">
        <v>211</v>
      </c>
      <c r="D9" s="122">
        <f>D8+D7</f>
        <v>4269</v>
      </c>
      <c r="E9" s="122"/>
      <c r="F9" s="122">
        <f>F7+F8</f>
        <v>38934</v>
      </c>
      <c r="G9" s="127">
        <f>G7+G8</f>
        <v>43203</v>
      </c>
      <c r="H9" s="122"/>
      <c r="I9" s="127">
        <f>I7+I8</f>
        <v>11292</v>
      </c>
      <c r="J9" s="122"/>
      <c r="K9" s="122">
        <f>SUM(K7:K8)</f>
        <v>178</v>
      </c>
      <c r="L9" s="126"/>
      <c r="M9" s="118">
        <f>I9*0.31</f>
        <v>3500.52</v>
      </c>
    </row>
    <row r="10" spans="1:15" x14ac:dyDescent="0.15">
      <c r="A10" s="114">
        <v>41820</v>
      </c>
      <c r="B10" s="109" t="s">
        <v>212</v>
      </c>
      <c r="C10" s="120">
        <v>107664</v>
      </c>
      <c r="D10" s="122">
        <f>C10-C8</f>
        <v>27</v>
      </c>
      <c r="E10" s="122">
        <v>228998</v>
      </c>
      <c r="F10" s="125">
        <f>E10-E8</f>
        <v>20679</v>
      </c>
      <c r="G10" s="122">
        <f>D10+F10</f>
        <v>20706</v>
      </c>
      <c r="H10" s="122">
        <v>205962</v>
      </c>
      <c r="I10" s="122">
        <f>H10-H8</f>
        <v>7643</v>
      </c>
      <c r="J10" s="122">
        <v>479</v>
      </c>
      <c r="K10" s="122">
        <f>J10-J8</f>
        <v>221</v>
      </c>
      <c r="L10" s="126"/>
    </row>
    <row r="11" spans="1:15" x14ac:dyDescent="0.15">
      <c r="A11" s="114">
        <v>42009</v>
      </c>
      <c r="B11" s="109" t="s">
        <v>213</v>
      </c>
      <c r="C11" s="120">
        <v>107664</v>
      </c>
      <c r="D11" s="122">
        <f>C11-C10</f>
        <v>0</v>
      </c>
      <c r="E11" s="122">
        <v>248874</v>
      </c>
      <c r="F11" s="122">
        <f>SUM(E11-E10)</f>
        <v>19876</v>
      </c>
      <c r="G11" s="122">
        <f>D11+F11</f>
        <v>19876</v>
      </c>
      <c r="H11" s="122">
        <v>211906</v>
      </c>
      <c r="I11" s="122">
        <f>H11-H10</f>
        <v>5944</v>
      </c>
      <c r="J11" s="122"/>
      <c r="K11" s="122"/>
      <c r="L11" s="126"/>
    </row>
    <row r="12" spans="1:15" x14ac:dyDescent="0.15">
      <c r="A12" s="328" t="s">
        <v>214</v>
      </c>
      <c r="B12" s="329"/>
      <c r="C12" s="120">
        <v>0</v>
      </c>
      <c r="D12" s="122">
        <f>D11+D10</f>
        <v>27</v>
      </c>
      <c r="E12" s="122"/>
      <c r="F12" s="122">
        <f>F10+F11</f>
        <v>40555</v>
      </c>
      <c r="G12" s="127">
        <f>G10+G11</f>
        <v>40582</v>
      </c>
      <c r="H12" s="122" t="s">
        <v>211</v>
      </c>
      <c r="I12" s="127">
        <f>I10+I11</f>
        <v>13587</v>
      </c>
      <c r="J12" s="122"/>
      <c r="K12" s="127">
        <f>SUM(K10:K11)</f>
        <v>221</v>
      </c>
      <c r="L12" s="126"/>
      <c r="M12" s="118">
        <f>I12*0.31</f>
        <v>4211.97</v>
      </c>
    </row>
    <row r="13" spans="1:15" x14ac:dyDescent="0.15">
      <c r="A13" s="114">
        <v>42186</v>
      </c>
      <c r="B13" s="115" t="s">
        <v>215</v>
      </c>
      <c r="C13" s="120">
        <v>107690</v>
      </c>
      <c r="D13" s="122">
        <f>C13-C11</f>
        <v>26</v>
      </c>
      <c r="E13" s="122">
        <v>268402</v>
      </c>
      <c r="F13" s="122">
        <f>E13-E11</f>
        <v>19528</v>
      </c>
      <c r="G13" s="127">
        <f>F13+D13</f>
        <v>19554</v>
      </c>
      <c r="H13" s="122">
        <v>221775</v>
      </c>
      <c r="I13" s="127">
        <f>H13-H11</f>
        <v>9869</v>
      </c>
      <c r="J13" s="122">
        <v>545</v>
      </c>
      <c r="K13" s="122"/>
      <c r="L13" s="126"/>
    </row>
    <row r="14" spans="1:15" x14ac:dyDescent="0.15">
      <c r="A14" s="113">
        <v>42369</v>
      </c>
      <c r="B14" s="115">
        <v>2015</v>
      </c>
      <c r="C14" s="120">
        <v>107690</v>
      </c>
      <c r="D14" s="122">
        <f>SUM(C14-C11)</f>
        <v>26</v>
      </c>
      <c r="E14" s="122">
        <v>285177</v>
      </c>
      <c r="F14" s="122">
        <f>SUM(E14-E11)</f>
        <v>36303</v>
      </c>
      <c r="G14" s="127">
        <f>F14+D14</f>
        <v>36329</v>
      </c>
      <c r="H14" s="122">
        <v>227435</v>
      </c>
      <c r="I14" s="127">
        <f>SUM(H14-H11)</f>
        <v>15529</v>
      </c>
      <c r="J14" s="122">
        <v>618</v>
      </c>
      <c r="K14" s="122">
        <f>SUM(J14-J13)</f>
        <v>73</v>
      </c>
      <c r="L14" s="126" t="s">
        <v>211</v>
      </c>
      <c r="M14" s="118">
        <f>I14*0.31</f>
        <v>4813.99</v>
      </c>
    </row>
    <row r="15" spans="1:15" x14ac:dyDescent="0.15">
      <c r="A15" s="116">
        <v>42438</v>
      </c>
      <c r="B15" s="115"/>
      <c r="C15" s="120">
        <v>107690</v>
      </c>
      <c r="D15" s="123"/>
      <c r="E15" s="123">
        <v>295966</v>
      </c>
      <c r="F15" s="123"/>
      <c r="G15" s="127"/>
      <c r="H15" s="123">
        <v>236240</v>
      </c>
      <c r="I15" s="123">
        <f>H15-H14</f>
        <v>8805</v>
      </c>
      <c r="J15" s="123"/>
      <c r="K15" s="123"/>
      <c r="L15" s="128" t="s">
        <v>220</v>
      </c>
      <c r="M15" s="95"/>
    </row>
    <row r="16" spans="1:15" x14ac:dyDescent="0.15">
      <c r="A16" s="116">
        <v>42494</v>
      </c>
      <c r="B16" s="115"/>
      <c r="C16" s="120"/>
      <c r="D16" s="123"/>
      <c r="E16" s="123">
        <v>302300</v>
      </c>
      <c r="F16" s="123">
        <f>E16-E14</f>
        <v>17123</v>
      </c>
      <c r="G16" s="127"/>
      <c r="H16" s="123"/>
      <c r="I16" s="131"/>
      <c r="J16" s="123"/>
      <c r="K16" s="123"/>
      <c r="L16" s="128" t="s">
        <v>220</v>
      </c>
      <c r="M16" s="95">
        <f>M14-M9</f>
        <v>1313.4699999999998</v>
      </c>
      <c r="N16" s="91" t="s">
        <v>235</v>
      </c>
    </row>
    <row r="17" spans="1:13" x14ac:dyDescent="0.15">
      <c r="A17" s="116">
        <v>42639</v>
      </c>
      <c r="B17" s="109" t="s">
        <v>219</v>
      </c>
      <c r="C17" s="121">
        <v>107690</v>
      </c>
      <c r="D17" s="123">
        <f>C17-C14</f>
        <v>0</v>
      </c>
      <c r="E17" s="123">
        <v>311162</v>
      </c>
      <c r="F17" s="123">
        <f>E17-E14</f>
        <v>25985</v>
      </c>
      <c r="G17" s="122">
        <f>F17+D17</f>
        <v>25985</v>
      </c>
      <c r="H17" s="124">
        <v>239245</v>
      </c>
      <c r="I17" s="123">
        <f>H17-H14</f>
        <v>11810</v>
      </c>
      <c r="J17" s="123"/>
      <c r="K17" s="123"/>
      <c r="L17" s="128" t="s">
        <v>221</v>
      </c>
    </row>
    <row r="18" spans="1:13" x14ac:dyDescent="0.15">
      <c r="A18" s="117"/>
      <c r="B18" s="115" t="s">
        <v>102</v>
      </c>
      <c r="C18" s="120"/>
      <c r="D18" s="122"/>
      <c r="E18" s="122"/>
      <c r="F18" s="127"/>
      <c r="G18" s="127">
        <f>G17/9*6.5</f>
        <v>18766.944444444445</v>
      </c>
      <c r="H18" s="127"/>
      <c r="I18" s="127">
        <f>I17/9*8</f>
        <v>10497.777777777777</v>
      </c>
      <c r="J18" s="122"/>
      <c r="K18" s="122"/>
      <c r="L18" s="126" t="s">
        <v>222</v>
      </c>
    </row>
    <row r="19" spans="1:13" x14ac:dyDescent="0.15">
      <c r="A19" s="113">
        <v>42723</v>
      </c>
      <c r="B19" s="115">
        <v>2016</v>
      </c>
      <c r="C19" s="120">
        <v>107690</v>
      </c>
      <c r="D19" s="122">
        <f>C19-C14</f>
        <v>0</v>
      </c>
      <c r="E19" s="122">
        <v>320128</v>
      </c>
      <c r="F19" s="122">
        <f>E19-E14</f>
        <v>34951</v>
      </c>
      <c r="G19" s="127">
        <f>D19+F19</f>
        <v>34951</v>
      </c>
      <c r="H19" s="122">
        <v>246485</v>
      </c>
      <c r="I19" s="127">
        <f>H19-H14</f>
        <v>19050</v>
      </c>
      <c r="J19" s="122"/>
      <c r="K19" s="122"/>
      <c r="L19" s="126" t="s">
        <v>238</v>
      </c>
    </row>
    <row r="20" spans="1:13" x14ac:dyDescent="0.15">
      <c r="B20" s="113">
        <v>42983</v>
      </c>
      <c r="C20" s="120">
        <v>113103</v>
      </c>
      <c r="D20" s="122">
        <f>C20-C19</f>
        <v>5413</v>
      </c>
      <c r="E20" s="145">
        <v>336221</v>
      </c>
      <c r="F20" s="122">
        <f>E20-E19</f>
        <v>16093</v>
      </c>
      <c r="G20" s="122">
        <f>D20+F20</f>
        <v>21506</v>
      </c>
      <c r="H20" s="145">
        <v>258960</v>
      </c>
      <c r="I20" s="122">
        <f>(H20-H19)</f>
        <v>12475</v>
      </c>
      <c r="J20" s="122"/>
      <c r="K20" s="122"/>
      <c r="L20" s="126"/>
    </row>
    <row r="21" spans="1:13" x14ac:dyDescent="0.15">
      <c r="A21" s="117"/>
      <c r="B21" s="109" t="s">
        <v>243</v>
      </c>
      <c r="C21" s="120"/>
      <c r="D21" s="122"/>
      <c r="E21" s="122"/>
      <c r="F21" s="122"/>
      <c r="G21" s="122">
        <f>G20/260*183</f>
        <v>15136.915384615386</v>
      </c>
      <c r="H21" s="122"/>
      <c r="I21" s="122">
        <f>I20/260*183</f>
        <v>8780.4807692307695</v>
      </c>
      <c r="J21" s="122"/>
      <c r="K21" s="122"/>
      <c r="L21" s="126"/>
    </row>
    <row r="22" spans="1:13" x14ac:dyDescent="0.15">
      <c r="A22" s="155">
        <v>43110</v>
      </c>
      <c r="B22" s="151"/>
      <c r="C22" s="152">
        <v>116071</v>
      </c>
      <c r="D22" s="156">
        <f>C22-C19</f>
        <v>8381</v>
      </c>
      <c r="E22" s="153">
        <v>342784</v>
      </c>
      <c r="F22" s="153">
        <f>E22-E19</f>
        <v>22656</v>
      </c>
      <c r="G22" s="122">
        <f>D22+F22</f>
        <v>31037</v>
      </c>
      <c r="H22" s="153">
        <v>268328</v>
      </c>
      <c r="I22" s="153">
        <f>H22-H19</f>
        <v>21843</v>
      </c>
      <c r="J22" s="153"/>
      <c r="K22" s="153"/>
      <c r="L22" s="154" t="s">
        <v>250</v>
      </c>
    </row>
    <row r="23" spans="1:13" s="98" customFormat="1" x14ac:dyDescent="0.15">
      <c r="A23" s="157"/>
      <c r="B23" s="158">
        <v>2017</v>
      </c>
      <c r="C23" s="159"/>
      <c r="D23" s="160"/>
      <c r="E23" s="160"/>
      <c r="F23" s="160"/>
      <c r="G23" s="160">
        <f>(G22/(A22-A19))*365</f>
        <v>29272.622739018087</v>
      </c>
      <c r="H23" s="153"/>
      <c r="I23" s="160">
        <f>(I22/(A22-A19))*365</f>
        <v>20601.279069767443</v>
      </c>
      <c r="J23" s="160"/>
      <c r="K23" s="160"/>
      <c r="L23" s="161"/>
    </row>
    <row r="24" spans="1:13" x14ac:dyDescent="0.15">
      <c r="A24" s="155">
        <v>43405</v>
      </c>
      <c r="B24" s="150"/>
      <c r="C24" s="152">
        <v>125360</v>
      </c>
      <c r="D24" s="153">
        <f>C24-C22</f>
        <v>9289</v>
      </c>
      <c r="E24" s="153">
        <v>359223</v>
      </c>
      <c r="F24" s="153">
        <f>E24-E22</f>
        <v>16439</v>
      </c>
      <c r="G24" s="153">
        <f>F24+D24</f>
        <v>25728</v>
      </c>
      <c r="H24" s="153"/>
      <c r="I24" s="153"/>
      <c r="J24" s="153"/>
      <c r="K24" s="153"/>
      <c r="L24" s="154" t="s">
        <v>254</v>
      </c>
    </row>
    <row r="25" spans="1:13" x14ac:dyDescent="0.15">
      <c r="A25" s="155">
        <v>43409</v>
      </c>
      <c r="B25" s="150"/>
      <c r="C25" s="152"/>
      <c r="D25" s="153"/>
      <c r="E25" s="153"/>
      <c r="F25" s="153"/>
      <c r="G25" s="153"/>
      <c r="H25" s="153">
        <v>281771</v>
      </c>
      <c r="I25" s="153">
        <f>H25-H22</f>
        <v>13443</v>
      </c>
      <c r="J25" s="153"/>
      <c r="K25" s="153"/>
      <c r="L25" s="154" t="s">
        <v>254</v>
      </c>
    </row>
    <row r="26" spans="1:13" s="98" customFormat="1" ht="14" thickBot="1" x14ac:dyDescent="0.2">
      <c r="A26" s="157"/>
      <c r="B26" s="158" t="s">
        <v>253</v>
      </c>
      <c r="C26" s="159"/>
      <c r="D26" s="160"/>
      <c r="E26" s="160"/>
      <c r="F26" s="160"/>
      <c r="G26" s="160">
        <f>(G24/(A24-A22)*183)</f>
        <v>15960.081355932203</v>
      </c>
      <c r="H26" s="160"/>
      <c r="I26" s="160">
        <f>(I25/(A25-A22)*183)</f>
        <v>8227.6555183946475</v>
      </c>
      <c r="J26" s="160"/>
      <c r="K26" s="160"/>
      <c r="L26" s="161"/>
    </row>
    <row r="27" spans="1:13" x14ac:dyDescent="0.15">
      <c r="A27" s="150"/>
      <c r="B27" s="172"/>
      <c r="C27" s="174"/>
      <c r="D27" s="175"/>
      <c r="E27" s="175"/>
      <c r="F27" s="175"/>
      <c r="G27" s="175"/>
      <c r="H27" s="175"/>
      <c r="I27" s="175"/>
      <c r="J27" s="175"/>
      <c r="K27" s="175"/>
      <c r="L27" s="176"/>
    </row>
    <row r="28" spans="1:13" x14ac:dyDescent="0.15">
      <c r="A28" s="164">
        <v>43111</v>
      </c>
      <c r="B28" s="172"/>
      <c r="C28" s="152">
        <v>116071</v>
      </c>
      <c r="D28" s="153"/>
      <c r="E28" s="153">
        <v>342784</v>
      </c>
      <c r="F28" s="153"/>
      <c r="G28" s="153"/>
      <c r="H28" s="153">
        <v>268328</v>
      </c>
      <c r="I28" s="153"/>
      <c r="J28" s="153"/>
      <c r="K28" s="153"/>
      <c r="L28" s="154"/>
    </row>
    <row r="29" spans="1:13" ht="14" thickBot="1" x14ac:dyDescent="0.2">
      <c r="A29" s="165">
        <v>43465</v>
      </c>
      <c r="B29" s="173"/>
      <c r="C29" s="129">
        <v>127364</v>
      </c>
      <c r="D29" s="130">
        <v>11293</v>
      </c>
      <c r="E29" s="130">
        <v>362932</v>
      </c>
      <c r="F29" s="130">
        <v>20148</v>
      </c>
      <c r="G29" s="130">
        <f>D29+F29</f>
        <v>31441</v>
      </c>
      <c r="H29" s="130">
        <v>284628</v>
      </c>
      <c r="I29" s="130">
        <v>15919</v>
      </c>
      <c r="J29" s="130"/>
      <c r="K29" s="130"/>
      <c r="L29" s="177" t="s">
        <v>264</v>
      </c>
    </row>
    <row r="30" spans="1:13" x14ac:dyDescent="0.15">
      <c r="C30" s="178"/>
      <c r="D30" s="170"/>
      <c r="E30" s="170"/>
      <c r="F30" s="170"/>
      <c r="G30" s="170">
        <f>G29/354*365</f>
        <v>32417.9802259887</v>
      </c>
      <c r="H30" s="170"/>
      <c r="I30" s="170">
        <f>I29/354*365</f>
        <v>16413.658192090395</v>
      </c>
      <c r="J30" s="170"/>
      <c r="K30" s="170"/>
      <c r="L30" s="179" t="s">
        <v>265</v>
      </c>
    </row>
    <row r="31" spans="1:13" ht="14" thickBot="1" x14ac:dyDescent="0.2">
      <c r="A31" s="183">
        <v>43699</v>
      </c>
      <c r="B31" s="171"/>
      <c r="C31" s="180">
        <v>131368</v>
      </c>
      <c r="D31" s="184">
        <f>C31-C29</f>
        <v>4004</v>
      </c>
      <c r="E31" s="181">
        <v>377090</v>
      </c>
      <c r="F31" s="184">
        <f>E31-E29</f>
        <v>14158</v>
      </c>
      <c r="G31" s="184">
        <f>D31+F31</f>
        <v>18162</v>
      </c>
      <c r="H31" s="181">
        <v>292904</v>
      </c>
      <c r="I31" s="184">
        <f>H31-H29</f>
        <v>8276</v>
      </c>
      <c r="J31" s="181"/>
      <c r="K31" s="181"/>
      <c r="L31" s="182" t="s">
        <v>273</v>
      </c>
    </row>
    <row r="32" spans="1:13" ht="14" thickBot="1" x14ac:dyDescent="0.2">
      <c r="B32" s="110" t="s">
        <v>271</v>
      </c>
      <c r="G32" s="156">
        <f>G31/234*181</f>
        <v>14048.384615384615</v>
      </c>
      <c r="I32" s="156">
        <f>I31/234*181</f>
        <v>6401.5213675213681</v>
      </c>
      <c r="L32" s="91">
        <v>181</v>
      </c>
      <c r="M32" s="91" t="s">
        <v>274</v>
      </c>
    </row>
    <row r="33" spans="1:14" ht="14" thickBot="1" x14ac:dyDescent="0.2">
      <c r="A33" s="191">
        <v>43809</v>
      </c>
      <c r="B33" s="195"/>
      <c r="C33" s="193">
        <v>131368</v>
      </c>
      <c r="D33" s="187">
        <f>C33-C29</f>
        <v>4004</v>
      </c>
      <c r="E33" s="186">
        <v>385109</v>
      </c>
      <c r="F33" s="187">
        <f>E33-E29</f>
        <v>22177</v>
      </c>
      <c r="G33" s="187">
        <f>D33+F33</f>
        <v>26181</v>
      </c>
      <c r="H33" s="186">
        <v>296659</v>
      </c>
      <c r="I33" s="187">
        <f>H33-H29</f>
        <v>12031</v>
      </c>
      <c r="J33" s="186"/>
      <c r="K33" s="186"/>
      <c r="L33" s="188" t="s">
        <v>288</v>
      </c>
    </row>
    <row r="34" spans="1:14" ht="14" thickBot="1" x14ac:dyDescent="0.2">
      <c r="A34" s="192"/>
      <c r="B34" s="196">
        <v>2019</v>
      </c>
      <c r="C34" s="194"/>
      <c r="D34" s="189"/>
      <c r="E34" s="189"/>
      <c r="F34" s="189"/>
      <c r="G34" s="248">
        <f>(G33/344)*350</f>
        <v>26637.64534883721</v>
      </c>
      <c r="H34" s="189"/>
      <c r="I34" s="248">
        <f>(I33/344)*350</f>
        <v>12240.843023255813</v>
      </c>
      <c r="J34" s="189"/>
      <c r="K34" s="189"/>
      <c r="L34" s="190" t="s">
        <v>289</v>
      </c>
    </row>
    <row r="35" spans="1:14" x14ac:dyDescent="0.15">
      <c r="G35" s="105"/>
    </row>
    <row r="36" spans="1:14" x14ac:dyDescent="0.15">
      <c r="E36" s="98">
        <v>2019</v>
      </c>
      <c r="F36" s="98" t="s">
        <v>301</v>
      </c>
      <c r="L36" s="98" t="s">
        <v>181</v>
      </c>
    </row>
    <row r="37" spans="1:14" x14ac:dyDescent="0.15">
      <c r="F37" s="98" t="s">
        <v>299</v>
      </c>
      <c r="L37" s="98" t="s">
        <v>299</v>
      </c>
    </row>
    <row r="38" spans="1:14" x14ac:dyDescent="0.15">
      <c r="F38" s="91" t="s">
        <v>206</v>
      </c>
      <c r="G38" s="156">
        <f>G34</f>
        <v>26637.64534883721</v>
      </c>
      <c r="H38" s="91" t="s">
        <v>298</v>
      </c>
      <c r="L38" s="91" t="s">
        <v>206</v>
      </c>
      <c r="M38" s="156">
        <f>I34</f>
        <v>12240.843023255813</v>
      </c>
      <c r="N38" s="91" t="s">
        <v>298</v>
      </c>
    </row>
    <row r="39" spans="1:14" x14ac:dyDescent="0.15">
      <c r="F39" s="91" t="s">
        <v>206</v>
      </c>
      <c r="G39" s="156">
        <f>G34/350*365</f>
        <v>27779.258720930233</v>
      </c>
      <c r="H39" s="91" t="s">
        <v>265</v>
      </c>
      <c r="L39" s="91" t="s">
        <v>206</v>
      </c>
      <c r="M39" s="156">
        <f>I34/350*365</f>
        <v>12765.450581395349</v>
      </c>
      <c r="N39" s="91" t="s">
        <v>265</v>
      </c>
    </row>
    <row r="41" spans="1:14" x14ac:dyDescent="0.15">
      <c r="F41" s="98" t="s">
        <v>300</v>
      </c>
      <c r="L41" s="98" t="s">
        <v>300</v>
      </c>
    </row>
    <row r="42" spans="1:14" x14ac:dyDescent="0.15">
      <c r="F42" s="156">
        <v>22327</v>
      </c>
      <c r="G42" s="91" t="s">
        <v>304</v>
      </c>
      <c r="H42" s="91" t="s">
        <v>303</v>
      </c>
      <c r="L42" s="156">
        <v>20671</v>
      </c>
      <c r="N42" s="91" t="s">
        <v>302</v>
      </c>
    </row>
    <row r="43" spans="1:14" x14ac:dyDescent="0.15">
      <c r="F43" s="156">
        <f>F42/10*12</f>
        <v>26792.399999999998</v>
      </c>
      <c r="G43" s="91" t="s">
        <v>305</v>
      </c>
    </row>
    <row r="44" spans="1:14" ht="14" thickBot="1" x14ac:dyDescent="0.2"/>
    <row r="45" spans="1:14" ht="14" thickBot="1" x14ac:dyDescent="0.2">
      <c r="E45" s="98">
        <v>2020</v>
      </c>
      <c r="F45" s="91" t="s">
        <v>309</v>
      </c>
      <c r="G45" s="91">
        <v>26980</v>
      </c>
      <c r="H45" s="91" t="s">
        <v>298</v>
      </c>
      <c r="L45" s="98">
        <v>2020</v>
      </c>
      <c r="M45" s="255">
        <v>5121</v>
      </c>
      <c r="N45" s="91" t="s">
        <v>265</v>
      </c>
    </row>
    <row r="46" spans="1:14" ht="14" thickBot="1" x14ac:dyDescent="0.2">
      <c r="G46" s="254">
        <f>G45/350*365</f>
        <v>28136.285714285714</v>
      </c>
      <c r="H46" s="91" t="s">
        <v>265</v>
      </c>
    </row>
  </sheetData>
  <mergeCells count="14">
    <mergeCell ref="H3:I3"/>
    <mergeCell ref="J3:K3"/>
    <mergeCell ref="A9:B9"/>
    <mergeCell ref="A12:B12"/>
    <mergeCell ref="A1:L1"/>
    <mergeCell ref="A2:A4"/>
    <mergeCell ref="B2:B4"/>
    <mergeCell ref="C2:D2"/>
    <mergeCell ref="E2:F2"/>
    <mergeCell ref="H2:I2"/>
    <mergeCell ref="J2:K2"/>
    <mergeCell ref="L2:L4"/>
    <mergeCell ref="C3:D3"/>
    <mergeCell ref="E3:F3"/>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3"/>
  <sheetViews>
    <sheetView workbookViewId="0">
      <selection sqref="A1:F1"/>
    </sheetView>
  </sheetViews>
  <sheetFormatPr baseColWidth="10" defaultColWidth="9.1640625" defaultRowHeight="13" x14ac:dyDescent="0.15"/>
  <cols>
    <col min="1" max="1" width="11.5" style="91" customWidth="1"/>
    <col min="2" max="2" width="10.1640625" style="91" bestFit="1" customWidth="1"/>
    <col min="3" max="3" width="9.6640625" style="91" customWidth="1"/>
    <col min="4" max="4" width="8.33203125" style="91" customWidth="1"/>
    <col min="5" max="5" width="10.1640625" style="91" bestFit="1" customWidth="1"/>
    <col min="6" max="6" width="7.83203125" style="91" customWidth="1"/>
    <col min="7" max="7" width="9.1640625" style="91"/>
    <col min="8" max="8" width="7.33203125" style="91" customWidth="1"/>
    <col min="9" max="9" width="6.83203125" style="91" customWidth="1"/>
    <col min="10" max="10" width="7.1640625" style="91" customWidth="1"/>
    <col min="11" max="11" width="16.5" style="91" customWidth="1"/>
    <col min="12" max="16384" width="9.1640625" style="91"/>
  </cols>
  <sheetData>
    <row r="1" spans="1:6" ht="16" x14ac:dyDescent="0.2">
      <c r="A1" s="340" t="s">
        <v>180</v>
      </c>
      <c r="B1" s="341"/>
      <c r="C1" s="341"/>
      <c r="D1" s="341"/>
      <c r="E1" s="341"/>
      <c r="F1" s="342"/>
    </row>
    <row r="2" spans="1:6" ht="16" x14ac:dyDescent="0.2">
      <c r="A2" s="92" t="s">
        <v>181</v>
      </c>
    </row>
    <row r="3" spans="1:6" x14ac:dyDescent="0.15">
      <c r="A3" s="91" t="s">
        <v>182</v>
      </c>
      <c r="B3" s="93" t="s">
        <v>183</v>
      </c>
      <c r="C3" s="91" t="s">
        <v>184</v>
      </c>
      <c r="E3" s="91" t="s">
        <v>185</v>
      </c>
    </row>
    <row r="4" spans="1:6" x14ac:dyDescent="0.15">
      <c r="B4" s="94">
        <v>40638</v>
      </c>
      <c r="C4" s="95">
        <v>165073</v>
      </c>
      <c r="E4" s="96"/>
    </row>
    <row r="5" spans="1:6" x14ac:dyDescent="0.15">
      <c r="B5" s="94">
        <v>40973</v>
      </c>
      <c r="C5" s="95">
        <v>176308</v>
      </c>
      <c r="D5" s="95">
        <f>C5-C4</f>
        <v>11235</v>
      </c>
      <c r="E5" s="96">
        <f>D5/11</f>
        <v>1021.3636363636364</v>
      </c>
      <c r="F5" s="91" t="s">
        <v>186</v>
      </c>
    </row>
    <row r="6" spans="1:6" x14ac:dyDescent="0.15">
      <c r="A6" s="91" t="s">
        <v>182</v>
      </c>
      <c r="B6" s="93" t="s">
        <v>187</v>
      </c>
      <c r="E6" s="96"/>
    </row>
    <row r="7" spans="1:6" x14ac:dyDescent="0.15">
      <c r="B7" s="94">
        <v>40973</v>
      </c>
      <c r="C7" s="95">
        <v>176308</v>
      </c>
      <c r="D7" s="95"/>
      <c r="E7" s="96"/>
    </row>
    <row r="8" spans="1:6" x14ac:dyDescent="0.15">
      <c r="B8" s="94">
        <v>41299</v>
      </c>
      <c r="C8" s="95">
        <v>187027</v>
      </c>
      <c r="D8" s="95">
        <f>C8-C7</f>
        <v>10719</v>
      </c>
      <c r="E8" s="96">
        <f>D8/11</f>
        <v>974.4545454545455</v>
      </c>
      <c r="F8" s="91" t="s">
        <v>188</v>
      </c>
    </row>
    <row r="9" spans="1:6" x14ac:dyDescent="0.15">
      <c r="E9" s="97"/>
    </row>
    <row r="10" spans="1:6" x14ac:dyDescent="0.15">
      <c r="A10" s="91" t="s">
        <v>189</v>
      </c>
      <c r="B10" s="98">
        <v>2012</v>
      </c>
      <c r="E10" s="99">
        <f>E5*2+(E8*10)</f>
        <v>11787.272727272728</v>
      </c>
      <c r="F10" s="91" t="s">
        <v>1</v>
      </c>
    </row>
    <row r="12" spans="1:6" ht="14" x14ac:dyDescent="0.15">
      <c r="A12" s="100" t="s">
        <v>49</v>
      </c>
    </row>
    <row r="13" spans="1:6" x14ac:dyDescent="0.15">
      <c r="A13" s="91" t="s">
        <v>182</v>
      </c>
      <c r="B13" s="93" t="s">
        <v>183</v>
      </c>
      <c r="C13" s="91" t="s">
        <v>184</v>
      </c>
      <c r="E13" s="91" t="s">
        <v>185</v>
      </c>
    </row>
    <row r="14" spans="1:6" x14ac:dyDescent="0.15">
      <c r="A14" s="91" t="s">
        <v>190</v>
      </c>
      <c r="B14" s="94">
        <v>40638</v>
      </c>
      <c r="C14" s="95">
        <v>124602</v>
      </c>
    </row>
    <row r="15" spans="1:6" x14ac:dyDescent="0.15">
      <c r="B15" s="94">
        <v>40973</v>
      </c>
      <c r="C15" s="101">
        <v>149698</v>
      </c>
      <c r="D15" s="95">
        <f>C15-C14</f>
        <v>25096</v>
      </c>
      <c r="E15" s="102">
        <f>D15/11</f>
        <v>2281.4545454545455</v>
      </c>
    </row>
    <row r="16" spans="1:6" x14ac:dyDescent="0.15">
      <c r="A16" s="91" t="s">
        <v>191</v>
      </c>
      <c r="B16" s="94">
        <v>40638</v>
      </c>
      <c r="C16" s="95">
        <v>75401</v>
      </c>
      <c r="E16" s="96"/>
    </row>
    <row r="17" spans="1:6" x14ac:dyDescent="0.15">
      <c r="B17" s="94">
        <v>40973</v>
      </c>
      <c r="C17" s="101">
        <v>91358</v>
      </c>
      <c r="D17" s="95">
        <f>C17-C16</f>
        <v>15957</v>
      </c>
      <c r="E17" s="102">
        <f>D17/11</f>
        <v>1450.6363636363637</v>
      </c>
    </row>
    <row r="18" spans="1:6" x14ac:dyDescent="0.15">
      <c r="E18" s="96"/>
    </row>
    <row r="19" spans="1:6" x14ac:dyDescent="0.15">
      <c r="A19" s="91" t="s">
        <v>182</v>
      </c>
      <c r="B19" s="93" t="s">
        <v>187</v>
      </c>
      <c r="E19" s="96"/>
    </row>
    <row r="20" spans="1:6" x14ac:dyDescent="0.15">
      <c r="A20" s="91" t="s">
        <v>190</v>
      </c>
      <c r="B20" s="94">
        <v>40973</v>
      </c>
      <c r="C20" s="95">
        <v>146947</v>
      </c>
      <c r="E20" s="96"/>
    </row>
    <row r="21" spans="1:6" x14ac:dyDescent="0.15">
      <c r="B21" s="94">
        <v>41299</v>
      </c>
      <c r="C21" s="95">
        <v>169385</v>
      </c>
      <c r="D21" s="95">
        <f>C21-C20</f>
        <v>22438</v>
      </c>
      <c r="E21" s="96">
        <f>D21/11</f>
        <v>2039.8181818181818</v>
      </c>
    </row>
    <row r="22" spans="1:6" x14ac:dyDescent="0.15">
      <c r="A22" s="91" t="s">
        <v>191</v>
      </c>
      <c r="B22" s="94">
        <v>40973</v>
      </c>
      <c r="C22" s="95">
        <v>89686</v>
      </c>
      <c r="E22" s="96"/>
    </row>
    <row r="23" spans="1:6" x14ac:dyDescent="0.15">
      <c r="B23" s="94">
        <v>41299</v>
      </c>
      <c r="C23" s="95">
        <v>103368</v>
      </c>
      <c r="D23" s="95">
        <f>C23-C22</f>
        <v>13682</v>
      </c>
      <c r="E23" s="96">
        <f>D23/11</f>
        <v>1243.8181818181818</v>
      </c>
    </row>
    <row r="25" spans="1:6" x14ac:dyDescent="0.15">
      <c r="A25" s="98" t="s">
        <v>192</v>
      </c>
      <c r="B25" s="93" t="s">
        <v>183</v>
      </c>
      <c r="C25" s="91" t="s">
        <v>193</v>
      </c>
    </row>
    <row r="26" spans="1:6" ht="12.75" customHeight="1" x14ac:dyDescent="0.15">
      <c r="A26" s="343" t="s">
        <v>194</v>
      </c>
      <c r="B26" s="343"/>
      <c r="C26" s="343"/>
      <c r="D26" s="343"/>
      <c r="E26" s="343"/>
      <c r="F26" s="343"/>
    </row>
    <row r="27" spans="1:6" x14ac:dyDescent="0.15">
      <c r="A27" s="343"/>
      <c r="B27" s="343"/>
      <c r="C27" s="343"/>
      <c r="D27" s="343"/>
      <c r="E27" s="343"/>
      <c r="F27" s="343"/>
    </row>
    <row r="28" spans="1:6" x14ac:dyDescent="0.15">
      <c r="A28" s="343"/>
      <c r="B28" s="343"/>
      <c r="C28" s="343"/>
      <c r="D28" s="343"/>
      <c r="E28" s="343"/>
      <c r="F28" s="343"/>
    </row>
    <row r="29" spans="1:6" x14ac:dyDescent="0.15">
      <c r="A29" s="343"/>
      <c r="B29" s="343"/>
      <c r="C29" s="343"/>
      <c r="D29" s="343"/>
      <c r="E29" s="343"/>
      <c r="F29" s="343"/>
    </row>
    <row r="30" spans="1:6" x14ac:dyDescent="0.15">
      <c r="A30" s="103"/>
      <c r="B30" s="103"/>
      <c r="C30" s="103"/>
      <c r="D30" s="103"/>
      <c r="E30" s="103"/>
      <c r="F30" s="103"/>
    </row>
    <row r="31" spans="1:6" x14ac:dyDescent="0.15">
      <c r="A31" s="98" t="s">
        <v>195</v>
      </c>
    </row>
    <row r="32" spans="1:6" x14ac:dyDescent="0.15">
      <c r="A32" s="91" t="s">
        <v>182</v>
      </c>
      <c r="B32" s="93" t="s">
        <v>183</v>
      </c>
      <c r="C32" s="91" t="s">
        <v>196</v>
      </c>
      <c r="E32" s="91" t="s">
        <v>185</v>
      </c>
    </row>
    <row r="33" spans="1:10" x14ac:dyDescent="0.15">
      <c r="A33" s="91" t="s">
        <v>190</v>
      </c>
      <c r="B33" s="94">
        <v>40638</v>
      </c>
      <c r="C33" s="95">
        <v>124602</v>
      </c>
    </row>
    <row r="34" spans="1:10" x14ac:dyDescent="0.15">
      <c r="B34" s="94">
        <v>40973</v>
      </c>
      <c r="C34" s="95">
        <v>146947</v>
      </c>
      <c r="D34" s="95">
        <f>C34-C33</f>
        <v>22345</v>
      </c>
      <c r="E34" s="96">
        <f>D34/11</f>
        <v>2031.3636363636363</v>
      </c>
      <c r="F34" s="91" t="s">
        <v>186</v>
      </c>
    </row>
    <row r="35" spans="1:10" x14ac:dyDescent="0.15">
      <c r="A35" s="91" t="s">
        <v>191</v>
      </c>
      <c r="B35" s="94">
        <v>40638</v>
      </c>
      <c r="C35" s="95">
        <v>75401</v>
      </c>
      <c r="E35" s="96"/>
    </row>
    <row r="36" spans="1:10" x14ac:dyDescent="0.15">
      <c r="B36" s="94">
        <v>40973</v>
      </c>
      <c r="C36" s="95">
        <v>89686</v>
      </c>
      <c r="D36" s="95">
        <f>C36-C35</f>
        <v>14285</v>
      </c>
      <c r="E36" s="96">
        <f>D36/11</f>
        <v>1298.6363636363637</v>
      </c>
      <c r="F36" s="91" t="s">
        <v>186</v>
      </c>
    </row>
    <row r="37" spans="1:10" x14ac:dyDescent="0.15">
      <c r="E37" s="96"/>
    </row>
    <row r="38" spans="1:10" x14ac:dyDescent="0.15">
      <c r="A38" s="91" t="s">
        <v>182</v>
      </c>
      <c r="B38" s="97" t="s">
        <v>187</v>
      </c>
      <c r="E38" s="96"/>
    </row>
    <row r="39" spans="1:10" x14ac:dyDescent="0.15">
      <c r="A39" s="91" t="s">
        <v>190</v>
      </c>
      <c r="B39" s="94">
        <v>40973</v>
      </c>
      <c r="C39" s="95">
        <v>146947</v>
      </c>
      <c r="E39" s="96"/>
    </row>
    <row r="40" spans="1:10" x14ac:dyDescent="0.15">
      <c r="B40" s="94">
        <v>41299</v>
      </c>
      <c r="C40" s="95">
        <v>169385</v>
      </c>
      <c r="D40" s="95">
        <f>C40-C39</f>
        <v>22438</v>
      </c>
      <c r="E40" s="96">
        <f>D40/11</f>
        <v>2039.8181818181818</v>
      </c>
      <c r="F40" s="91" t="s">
        <v>188</v>
      </c>
    </row>
    <row r="41" spans="1:10" x14ac:dyDescent="0.15">
      <c r="A41" s="91" t="s">
        <v>191</v>
      </c>
      <c r="B41" s="94">
        <v>40973</v>
      </c>
      <c r="C41" s="95">
        <v>89686</v>
      </c>
      <c r="E41" s="96"/>
    </row>
    <row r="42" spans="1:10" x14ac:dyDescent="0.15">
      <c r="B42" s="94">
        <v>41299</v>
      </c>
      <c r="C42" s="95">
        <v>103368</v>
      </c>
      <c r="D42" s="95">
        <f>C42-C41</f>
        <v>13682</v>
      </c>
      <c r="E42" s="96">
        <f>D42/11</f>
        <v>1243.8181818181818</v>
      </c>
      <c r="F42" s="91" t="s">
        <v>188</v>
      </c>
    </row>
    <row r="43" spans="1:10" x14ac:dyDescent="0.15">
      <c r="B43" s="94"/>
      <c r="C43" s="95"/>
      <c r="D43" s="95"/>
      <c r="E43" s="104"/>
    </row>
    <row r="44" spans="1:10" x14ac:dyDescent="0.15">
      <c r="A44" s="98" t="s">
        <v>189</v>
      </c>
      <c r="B44" s="98">
        <v>2012</v>
      </c>
      <c r="E44" s="99">
        <f>(E34+E36)*2+(E40+E42)*10</f>
        <v>39496.363636363632</v>
      </c>
      <c r="F44" s="91" t="s">
        <v>2</v>
      </c>
    </row>
    <row r="46" spans="1:10" x14ac:dyDescent="0.15">
      <c r="A46" s="343" t="s">
        <v>197</v>
      </c>
      <c r="B46" s="343"/>
      <c r="C46" s="343"/>
      <c r="D46" s="343"/>
      <c r="E46" s="343"/>
      <c r="F46" s="343"/>
    </row>
    <row r="47" spans="1:10" x14ac:dyDescent="0.15">
      <c r="A47" s="343"/>
      <c r="B47" s="343"/>
      <c r="C47" s="343"/>
      <c r="D47" s="343"/>
      <c r="E47" s="343"/>
      <c r="F47" s="343"/>
      <c r="J47" s="105"/>
    </row>
    <row r="48" spans="1:10" x14ac:dyDescent="0.15">
      <c r="A48" s="343"/>
      <c r="B48" s="343"/>
      <c r="C48" s="343"/>
      <c r="D48" s="343"/>
      <c r="E48" s="343"/>
      <c r="F48" s="343"/>
      <c r="J48" s="105"/>
    </row>
    <row r="49" spans="1:10" x14ac:dyDescent="0.15">
      <c r="A49" s="106"/>
      <c r="B49" s="106"/>
      <c r="C49" s="106"/>
      <c r="D49" s="106"/>
      <c r="E49" s="106"/>
      <c r="F49" s="106"/>
      <c r="J49" s="105"/>
    </row>
    <row r="50" spans="1:10" ht="12.75" customHeight="1" x14ac:dyDescent="0.15">
      <c r="A50" s="344" t="s">
        <v>198</v>
      </c>
      <c r="B50" s="345"/>
      <c r="C50" s="345"/>
      <c r="D50" s="345"/>
      <c r="E50" s="345"/>
      <c r="F50" s="346"/>
      <c r="J50" s="105"/>
    </row>
    <row r="51" spans="1:10" x14ac:dyDescent="0.15">
      <c r="A51" s="347"/>
      <c r="B51" s="348"/>
      <c r="C51" s="348"/>
      <c r="D51" s="348"/>
      <c r="E51" s="348"/>
      <c r="F51" s="349"/>
      <c r="J51" s="105"/>
    </row>
    <row r="52" spans="1:10" x14ac:dyDescent="0.15">
      <c r="A52" s="347"/>
      <c r="B52" s="348"/>
      <c r="C52" s="348"/>
      <c r="D52" s="348"/>
      <c r="E52" s="348"/>
      <c r="F52" s="349"/>
      <c r="J52" s="105"/>
    </row>
    <row r="53" spans="1:10" x14ac:dyDescent="0.15">
      <c r="A53" s="350"/>
      <c r="B53" s="351"/>
      <c r="C53" s="351"/>
      <c r="D53" s="351"/>
      <c r="E53" s="351"/>
      <c r="F53" s="352"/>
      <c r="J53" s="105"/>
    </row>
  </sheetData>
  <mergeCells count="4">
    <mergeCell ref="A1:F1"/>
    <mergeCell ref="A26:F29"/>
    <mergeCell ref="A46:F48"/>
    <mergeCell ref="A50:F53"/>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workbookViewId="0">
      <selection activeCell="C2" sqref="C2"/>
    </sheetView>
  </sheetViews>
  <sheetFormatPr baseColWidth="10" defaultColWidth="8.83203125" defaultRowHeight="14" x14ac:dyDescent="0.2"/>
  <cols>
    <col min="1" max="1" width="52" style="15" customWidth="1"/>
    <col min="2" max="2" width="55.5" style="15" customWidth="1"/>
    <col min="3" max="3" width="15.83203125" style="79" customWidth="1"/>
    <col min="4" max="7" width="55.5" style="15" customWidth="1"/>
    <col min="8" max="16384" width="8.83203125" style="15"/>
  </cols>
  <sheetData>
    <row r="1" spans="1:3" ht="17" x14ac:dyDescent="0.2">
      <c r="A1" s="309" t="s">
        <v>106</v>
      </c>
      <c r="B1" s="80" t="s">
        <v>107</v>
      </c>
      <c r="C1" s="147">
        <v>44634</v>
      </c>
    </row>
    <row r="2" spans="1:3" ht="17" x14ac:dyDescent="0.2">
      <c r="A2" s="310"/>
      <c r="B2" s="80" t="s">
        <v>16</v>
      </c>
      <c r="C2" s="81">
        <v>1</v>
      </c>
    </row>
    <row r="3" spans="1:3" s="21" customFormat="1" ht="17" x14ac:dyDescent="0.2">
      <c r="A3" s="22" t="s">
        <v>108</v>
      </c>
      <c r="B3" s="65" t="s">
        <v>109</v>
      </c>
      <c r="C3" s="52" t="s">
        <v>322</v>
      </c>
    </row>
    <row r="4" spans="1:3" ht="16" x14ac:dyDescent="0.2">
      <c r="A4" s="66" t="s">
        <v>68</v>
      </c>
      <c r="B4" s="67" t="s">
        <v>153</v>
      </c>
      <c r="C4" s="68" t="s">
        <v>110</v>
      </c>
    </row>
    <row r="5" spans="1:3" ht="256" x14ac:dyDescent="0.2">
      <c r="A5" s="66" t="s">
        <v>150</v>
      </c>
      <c r="B5" s="67" t="s">
        <v>284</v>
      </c>
      <c r="C5" s="82"/>
    </row>
    <row r="6" spans="1:3" ht="16" x14ac:dyDescent="0.2">
      <c r="A6" s="69" t="s">
        <v>111</v>
      </c>
      <c r="B6" s="67" t="s">
        <v>154</v>
      </c>
      <c r="C6" s="311" t="s">
        <v>112</v>
      </c>
    </row>
    <row r="7" spans="1:3" ht="16" x14ac:dyDescent="0.2">
      <c r="A7" s="69"/>
      <c r="B7" s="67" t="s">
        <v>155</v>
      </c>
      <c r="C7" s="311"/>
    </row>
    <row r="8" spans="1:3" ht="16" x14ac:dyDescent="0.2">
      <c r="A8" s="66" t="s">
        <v>113</v>
      </c>
      <c r="B8" s="70">
        <v>2019</v>
      </c>
      <c r="C8" s="68" t="s">
        <v>114</v>
      </c>
    </row>
    <row r="9" spans="1:3" ht="16" x14ac:dyDescent="0.2">
      <c r="A9" s="69" t="s">
        <v>115</v>
      </c>
      <c r="B9" s="70">
        <v>2017</v>
      </c>
      <c r="C9" s="68" t="s">
        <v>116</v>
      </c>
    </row>
    <row r="10" spans="1:3" ht="32" x14ac:dyDescent="0.2">
      <c r="A10" s="66" t="s">
        <v>117</v>
      </c>
      <c r="B10" s="67" t="s">
        <v>118</v>
      </c>
      <c r="C10" s="68" t="s">
        <v>119</v>
      </c>
    </row>
    <row r="11" spans="1:3" ht="16" x14ac:dyDescent="0.2">
      <c r="A11" s="66" t="s">
        <v>120</v>
      </c>
      <c r="B11" s="70" t="s">
        <v>100</v>
      </c>
      <c r="C11" s="68" t="s">
        <v>121</v>
      </c>
    </row>
    <row r="12" spans="1:3" ht="15" x14ac:dyDescent="0.2">
      <c r="A12" s="312" t="s">
        <v>122</v>
      </c>
      <c r="B12" s="313"/>
      <c r="C12" s="314" t="s">
        <v>123</v>
      </c>
    </row>
    <row r="13" spans="1:3" ht="16" x14ac:dyDescent="0.2">
      <c r="A13" s="66" t="s">
        <v>124</v>
      </c>
      <c r="B13" s="70" t="str">
        <f>B4</f>
        <v xml:space="preserve">Kreeft Participaties B.V. (Kreeft) </v>
      </c>
      <c r="C13" s="315"/>
    </row>
    <row r="14" spans="1:3" ht="16" x14ac:dyDescent="0.2">
      <c r="A14" s="66" t="s">
        <v>125</v>
      </c>
      <c r="B14" s="70">
        <v>4081360</v>
      </c>
      <c r="C14" s="315"/>
    </row>
    <row r="15" spans="1:3" ht="16" x14ac:dyDescent="0.2">
      <c r="A15" s="69" t="s">
        <v>126</v>
      </c>
      <c r="B15" s="71" t="s">
        <v>100</v>
      </c>
      <c r="C15" s="315"/>
    </row>
    <row r="16" spans="1:3" ht="16" x14ac:dyDescent="0.2">
      <c r="A16" s="69" t="s">
        <v>127</v>
      </c>
      <c r="B16" s="72" t="s">
        <v>100</v>
      </c>
      <c r="C16" s="315"/>
    </row>
    <row r="17" spans="1:8" ht="16" x14ac:dyDescent="0.2">
      <c r="A17" s="69" t="s">
        <v>128</v>
      </c>
      <c r="B17" s="73">
        <v>1</v>
      </c>
      <c r="C17" s="315"/>
    </row>
    <row r="18" spans="1:8" ht="16" x14ac:dyDescent="0.2">
      <c r="A18" s="74" t="s">
        <v>129</v>
      </c>
      <c r="B18" s="73" t="s">
        <v>100</v>
      </c>
      <c r="C18" s="316"/>
    </row>
    <row r="19" spans="1:8" ht="16" x14ac:dyDescent="0.2">
      <c r="A19" s="8" t="s">
        <v>130</v>
      </c>
      <c r="B19" s="73" t="s">
        <v>131</v>
      </c>
      <c r="C19" s="68" t="s">
        <v>132</v>
      </c>
    </row>
    <row r="20" spans="1:8" ht="16" x14ac:dyDescent="0.2">
      <c r="A20" s="8" t="s">
        <v>133</v>
      </c>
      <c r="B20" s="83" t="s">
        <v>134</v>
      </c>
      <c r="C20" s="75" t="s">
        <v>135</v>
      </c>
      <c r="D20" s="76"/>
      <c r="E20" s="76"/>
      <c r="F20" s="76"/>
      <c r="G20" s="76"/>
      <c r="H20" s="76"/>
    </row>
    <row r="21" spans="1:8" ht="16" x14ac:dyDescent="0.2">
      <c r="A21" s="317" t="s">
        <v>136</v>
      </c>
      <c r="B21" s="67" t="s">
        <v>281</v>
      </c>
      <c r="C21" s="319" t="s">
        <v>137</v>
      </c>
      <c r="D21" s="76"/>
      <c r="E21" s="76"/>
      <c r="F21" s="76"/>
      <c r="G21" s="76"/>
      <c r="H21" s="76"/>
    </row>
    <row r="22" spans="1:8" ht="13.5" customHeight="1" x14ac:dyDescent="0.2">
      <c r="A22" s="318"/>
      <c r="B22" s="67" t="s">
        <v>157</v>
      </c>
      <c r="C22" s="320"/>
      <c r="D22" s="76"/>
      <c r="E22" s="76"/>
      <c r="F22" s="76"/>
      <c r="G22" s="76"/>
      <c r="H22" s="76"/>
    </row>
    <row r="23" spans="1:8" ht="13.5" customHeight="1" x14ac:dyDescent="0.2">
      <c r="A23" s="318"/>
      <c r="B23" s="67" t="s">
        <v>158</v>
      </c>
      <c r="C23" s="320"/>
      <c r="D23" s="76"/>
      <c r="E23" s="76"/>
      <c r="F23" s="76"/>
      <c r="G23" s="76"/>
      <c r="H23" s="76"/>
    </row>
    <row r="24" spans="1:8" ht="13.5" customHeight="1" x14ac:dyDescent="0.2">
      <c r="A24" s="318"/>
      <c r="B24" s="67" t="s">
        <v>156</v>
      </c>
      <c r="C24" s="320"/>
      <c r="D24" s="76"/>
      <c r="E24" s="76"/>
      <c r="F24" s="76"/>
      <c r="G24" s="76"/>
      <c r="H24" s="76"/>
    </row>
    <row r="25" spans="1:8" ht="32" x14ac:dyDescent="0.2">
      <c r="A25" s="318"/>
      <c r="B25" s="67" t="s">
        <v>228</v>
      </c>
      <c r="C25" s="320"/>
      <c r="D25" s="76"/>
      <c r="E25" s="76"/>
      <c r="F25" s="76"/>
      <c r="G25" s="76"/>
      <c r="H25" s="76"/>
    </row>
    <row r="26" spans="1:8" ht="64" x14ac:dyDescent="0.2">
      <c r="A26" s="8" t="s">
        <v>138</v>
      </c>
      <c r="B26" s="67" t="s">
        <v>139</v>
      </c>
      <c r="C26" s="77" t="s">
        <v>140</v>
      </c>
      <c r="D26" s="76"/>
      <c r="E26" s="76"/>
      <c r="F26" s="76"/>
      <c r="G26" s="76"/>
      <c r="H26" s="76"/>
    </row>
    <row r="27" spans="1:8" ht="80" x14ac:dyDescent="0.2">
      <c r="A27" s="88" t="s">
        <v>141</v>
      </c>
      <c r="B27" s="67" t="s">
        <v>282</v>
      </c>
      <c r="C27" s="78" t="s">
        <v>142</v>
      </c>
    </row>
    <row r="28" spans="1:8" ht="32" x14ac:dyDescent="0.2">
      <c r="A28" s="8" t="s">
        <v>143</v>
      </c>
      <c r="B28" s="67" t="s">
        <v>144</v>
      </c>
      <c r="C28" s="77" t="s">
        <v>145</v>
      </c>
      <c r="D28" s="76"/>
      <c r="E28" s="76"/>
      <c r="F28" s="76"/>
      <c r="G28" s="76"/>
      <c r="H28" s="76"/>
    </row>
    <row r="29" spans="1:8" ht="48" x14ac:dyDescent="0.2">
      <c r="A29" s="307" t="s">
        <v>146</v>
      </c>
      <c r="B29" s="67" t="s">
        <v>246</v>
      </c>
      <c r="C29" s="148" t="s">
        <v>147</v>
      </c>
    </row>
    <row r="30" spans="1:8" ht="32" x14ac:dyDescent="0.2">
      <c r="A30" s="308"/>
      <c r="B30" s="67" t="s">
        <v>263</v>
      </c>
      <c r="C30" s="148"/>
    </row>
    <row r="31" spans="1:8" ht="16" x14ac:dyDescent="0.2">
      <c r="A31" s="8" t="s">
        <v>148</v>
      </c>
      <c r="B31" s="84" t="s">
        <v>283</v>
      </c>
      <c r="C31" s="85" t="s">
        <v>149</v>
      </c>
    </row>
  </sheetData>
  <mergeCells count="7">
    <mergeCell ref="A29:A30"/>
    <mergeCell ref="A1:A2"/>
    <mergeCell ref="C6:C7"/>
    <mergeCell ref="A12:B12"/>
    <mergeCell ref="C12:C18"/>
    <mergeCell ref="A21:A25"/>
    <mergeCell ref="C21:C25"/>
  </mergeCells>
  <conditionalFormatting sqref="A4:B5 B6:B7">
    <cfRule type="expression" dxfId="180" priority="3">
      <formula>#REF!="Nee"</formula>
    </cfRule>
  </conditionalFormatting>
  <conditionalFormatting sqref="A6:B10 A12:A13 B13 A14:B15">
    <cfRule type="expression" dxfId="179" priority="2">
      <formula>#REF!="nee"</formula>
    </cfRule>
  </conditionalFormatting>
  <conditionalFormatting sqref="A11:B11">
    <cfRule type="expression" dxfId="178" priority="1">
      <formula>#REF!="nee"</formula>
    </cfRule>
  </conditionalFormatting>
  <pageMargins left="0.23622047244094491" right="0.23622047244094491" top="0.74803149606299213" bottom="0.74803149606299213" header="0.31496062992125984" footer="0.31496062992125984"/>
  <pageSetup paperSize="9" scale="54"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2"/>
  <sheetViews>
    <sheetView workbookViewId="0">
      <selection activeCell="H27" sqref="H27"/>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176</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177</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101730</v>
      </c>
      <c r="D11" s="8" t="s">
        <v>24</v>
      </c>
      <c r="E11" s="29">
        <v>3.23</v>
      </c>
      <c r="F11" s="9" t="s">
        <v>88</v>
      </c>
      <c r="G11" s="30">
        <f>C11*E11/1000</f>
        <v>328.58790000000005</v>
      </c>
      <c r="H11" s="38"/>
      <c r="I11" s="2"/>
    </row>
    <row r="12" spans="1:9" ht="15" x14ac:dyDescent="0.2">
      <c r="A12" s="24" t="s">
        <v>98</v>
      </c>
      <c r="B12" s="25"/>
      <c r="C12" s="25"/>
      <c r="D12" s="25"/>
      <c r="E12" s="25"/>
      <c r="F12" s="25"/>
      <c r="G12" s="25"/>
      <c r="H12" s="25"/>
      <c r="I12" s="25"/>
    </row>
    <row r="13" spans="1:9" ht="16" x14ac:dyDescent="0.15">
      <c r="A13" s="3" t="s">
        <v>161</v>
      </c>
      <c r="B13" s="14">
        <v>1</v>
      </c>
      <c r="C13" s="35">
        <v>2109</v>
      </c>
      <c r="D13" s="9" t="s">
        <v>25</v>
      </c>
      <c r="E13" s="29">
        <v>1.806</v>
      </c>
      <c r="F13" s="9" t="s">
        <v>88</v>
      </c>
      <c r="G13" s="30">
        <f>C13*E13/1000</f>
        <v>3.8088540000000002</v>
      </c>
      <c r="H13" s="34"/>
      <c r="I13" s="2"/>
    </row>
    <row r="14" spans="1:9" ht="16" x14ac:dyDescent="0.15">
      <c r="A14" s="3" t="s">
        <v>168</v>
      </c>
      <c r="B14" s="14">
        <v>1</v>
      </c>
      <c r="C14" s="35">
        <v>0</v>
      </c>
      <c r="D14" s="9" t="s">
        <v>167</v>
      </c>
      <c r="E14" s="29">
        <v>1.7250000000000001</v>
      </c>
      <c r="F14" s="9" t="s">
        <v>88</v>
      </c>
      <c r="G14" s="30">
        <f>C14*E14/1000</f>
        <v>0</v>
      </c>
      <c r="H14" s="34"/>
      <c r="I14" s="2"/>
    </row>
    <row r="15" spans="1:9" ht="16" x14ac:dyDescent="0.15">
      <c r="A15" s="3" t="s">
        <v>89</v>
      </c>
      <c r="B15" s="14">
        <v>1</v>
      </c>
      <c r="C15" s="35">
        <v>3550</v>
      </c>
      <c r="D15" s="9" t="s">
        <v>167</v>
      </c>
      <c r="E15" s="29">
        <v>2.74</v>
      </c>
      <c r="F15" s="9" t="s">
        <v>88</v>
      </c>
      <c r="G15" s="30">
        <f>C15*E15/1000</f>
        <v>9.7270000000000003</v>
      </c>
      <c r="H15" s="34"/>
      <c r="I15" s="2"/>
    </row>
    <row r="16" spans="1:9" ht="15" x14ac:dyDescent="0.2">
      <c r="A16" s="24" t="s">
        <v>83</v>
      </c>
      <c r="B16" s="25"/>
      <c r="C16" s="25"/>
      <c r="D16" s="25"/>
      <c r="E16" s="25"/>
      <c r="F16" s="25"/>
      <c r="G16" s="25"/>
      <c r="H16" s="25"/>
      <c r="I16" s="25"/>
    </row>
    <row r="17" spans="1:9" ht="16" x14ac:dyDescent="0.15">
      <c r="A17" s="3" t="s">
        <v>4</v>
      </c>
      <c r="B17" s="14">
        <v>2</v>
      </c>
      <c r="C17" s="37">
        <v>39496</v>
      </c>
      <c r="D17" s="9" t="s">
        <v>2</v>
      </c>
      <c r="E17" s="9">
        <v>0.52600000000000002</v>
      </c>
      <c r="F17" s="9" t="s">
        <v>85</v>
      </c>
      <c r="G17" s="30">
        <f t="shared" ref="G17" si="0">C17*E17/1000</f>
        <v>20.774896000000002</v>
      </c>
      <c r="H17" s="60"/>
      <c r="I17" s="2"/>
    </row>
    <row r="18" spans="1:9" ht="15" x14ac:dyDescent="0.2">
      <c r="A18" s="24" t="s">
        <v>84</v>
      </c>
      <c r="B18" s="25"/>
      <c r="C18" s="25"/>
      <c r="D18" s="25"/>
      <c r="E18" s="25"/>
      <c r="F18" s="25"/>
      <c r="G18" s="25"/>
      <c r="H18" s="25"/>
      <c r="I18" s="25"/>
    </row>
    <row r="19" spans="1:9" ht="16" x14ac:dyDescent="0.15">
      <c r="A19" s="3" t="s">
        <v>163</v>
      </c>
      <c r="B19" s="13">
        <v>1</v>
      </c>
      <c r="C19" s="89">
        <v>11787</v>
      </c>
      <c r="D19" s="16" t="s">
        <v>87</v>
      </c>
      <c r="E19" s="16">
        <v>1.8839999999999999</v>
      </c>
      <c r="F19" s="9" t="s">
        <v>86</v>
      </c>
      <c r="G19" s="30">
        <f t="shared" ref="G19" si="1">C19*E19/1000</f>
        <v>22.206707999999999</v>
      </c>
      <c r="H19" s="16"/>
      <c r="I19" s="2"/>
    </row>
    <row r="20" spans="1:9" ht="15" x14ac:dyDescent="0.2">
      <c r="A20" s="264" t="s">
        <v>333</v>
      </c>
      <c r="B20" s="202"/>
      <c r="C20" s="263"/>
      <c r="D20" s="208"/>
      <c r="E20" s="211"/>
      <c r="F20" s="208"/>
      <c r="G20" s="213"/>
      <c r="H20" s="221"/>
      <c r="I20" s="259"/>
    </row>
    <row r="21" spans="1:9" ht="15" x14ac:dyDescent="0.2">
      <c r="A21" s="220" t="s">
        <v>332</v>
      </c>
      <c r="B21" s="202">
        <v>3</v>
      </c>
      <c r="C21" s="263">
        <v>80000</v>
      </c>
      <c r="D21" s="208" t="s">
        <v>3</v>
      </c>
      <c r="E21" s="211">
        <v>0.193</v>
      </c>
      <c r="F21" s="208" t="s">
        <v>334</v>
      </c>
      <c r="G21" s="213">
        <f>C21*E21/1000</f>
        <v>15.44</v>
      </c>
      <c r="H21" s="221" t="s">
        <v>336</v>
      </c>
      <c r="I21" s="259">
        <f>G21/$G$25</f>
        <v>4.2379108008816453E-2</v>
      </c>
    </row>
    <row r="22" spans="1:9" ht="21" x14ac:dyDescent="0.2">
      <c r="A22" s="33" t="s">
        <v>13</v>
      </c>
      <c r="B22" s="31"/>
      <c r="C22" s="31"/>
      <c r="D22" s="31"/>
      <c r="E22" s="31"/>
      <c r="F22" s="31"/>
      <c r="G22" s="32">
        <f>SUM(G11:G21)</f>
        <v>400.54535800000002</v>
      </c>
      <c r="H22" s="39">
        <f>SUM(H11:H19)</f>
        <v>0</v>
      </c>
      <c r="I22" s="31"/>
    </row>
    <row r="24" spans="1:9" ht="16" x14ac:dyDescent="0.2">
      <c r="D24" s="41"/>
      <c r="E24" s="41"/>
      <c r="F24" s="44" t="s">
        <v>97</v>
      </c>
      <c r="G24" s="45"/>
    </row>
    <row r="25" spans="1:9" ht="16" x14ac:dyDescent="0.2">
      <c r="D25" s="41"/>
      <c r="E25" s="41"/>
      <c r="F25" s="42" t="s">
        <v>95</v>
      </c>
      <c r="G25" s="43">
        <f>G11+G13+G14+G15+G19</f>
        <v>364.33046200000001</v>
      </c>
    </row>
    <row r="26" spans="1:9" ht="16" x14ac:dyDescent="0.2">
      <c r="D26" s="41"/>
      <c r="E26" s="41"/>
      <c r="F26" s="46" t="s">
        <v>96</v>
      </c>
      <c r="G26" s="47">
        <f>G17</f>
        <v>20.774896000000002</v>
      </c>
    </row>
    <row r="27" spans="1:9" ht="16" x14ac:dyDescent="0.2">
      <c r="D27" s="41"/>
      <c r="E27" s="41"/>
      <c r="F27" s="46" t="s">
        <v>338</v>
      </c>
      <c r="G27" s="47">
        <f>G21</f>
        <v>15.44</v>
      </c>
    </row>
    <row r="28" spans="1:9" ht="16" x14ac:dyDescent="0.2">
      <c r="D28" s="321" t="s">
        <v>99</v>
      </c>
      <c r="E28" s="321"/>
      <c r="F28" s="321"/>
      <c r="G28" s="321"/>
    </row>
    <row r="29" spans="1:9" ht="16" x14ac:dyDescent="0.2">
      <c r="D29" s="321" t="s">
        <v>171</v>
      </c>
      <c r="E29" s="321"/>
      <c r="F29" s="321"/>
      <c r="G29" s="43">
        <f>G11</f>
        <v>328.58790000000005</v>
      </c>
    </row>
    <row r="30" spans="1:9" ht="16" x14ac:dyDescent="0.2">
      <c r="D30" s="321" t="s">
        <v>98</v>
      </c>
      <c r="E30" s="321"/>
      <c r="F30" s="321"/>
      <c r="G30" s="43">
        <f>G13+G14+G15</f>
        <v>13.535854</v>
      </c>
    </row>
    <row r="31" spans="1:9" ht="16" x14ac:dyDescent="0.2">
      <c r="D31" s="321" t="s">
        <v>83</v>
      </c>
      <c r="E31" s="321"/>
      <c r="F31" s="321"/>
      <c r="G31" s="43">
        <f>G17</f>
        <v>20.774896000000002</v>
      </c>
    </row>
    <row r="32" spans="1:9" ht="16" x14ac:dyDescent="0.2">
      <c r="D32" s="321" t="s">
        <v>84</v>
      </c>
      <c r="E32" s="321"/>
      <c r="F32" s="321"/>
      <c r="G32" s="43">
        <f>G19</f>
        <v>22.206707999999999</v>
      </c>
    </row>
  </sheetData>
  <mergeCells count="11">
    <mergeCell ref="B7:E7"/>
    <mergeCell ref="A1:I1"/>
    <mergeCell ref="B3:E3"/>
    <mergeCell ref="B4:E4"/>
    <mergeCell ref="B5:E5"/>
    <mergeCell ref="B6:E6"/>
    <mergeCell ref="D28:G28"/>
    <mergeCell ref="D29:F29"/>
    <mergeCell ref="D30:F30"/>
    <mergeCell ref="D31:F31"/>
    <mergeCell ref="D32:F32"/>
  </mergeCells>
  <conditionalFormatting sqref="A13:A15">
    <cfRule type="expression" dxfId="177" priority="17">
      <formula>$C$12="nee"</formula>
    </cfRule>
  </conditionalFormatting>
  <conditionalFormatting sqref="A14:A15">
    <cfRule type="expression" dxfId="176" priority="11">
      <formula>#REF!="nee"</formula>
    </cfRule>
  </conditionalFormatting>
  <conditionalFormatting sqref="A20:G21">
    <cfRule type="expression" dxfId="175" priority="2">
      <formula>#REF!="nee"</formula>
    </cfRule>
  </conditionalFormatting>
  <conditionalFormatting sqref="A11:H11 G13:G15">
    <cfRule type="expression" dxfId="174" priority="19">
      <formula>#REF!="Nee"</formula>
    </cfRule>
  </conditionalFormatting>
  <conditionalFormatting sqref="A17:H17 A19:H19">
    <cfRule type="expression" dxfId="173" priority="16">
      <formula>#REF!="nee"</formula>
    </cfRule>
  </conditionalFormatting>
  <conditionalFormatting sqref="E13">
    <cfRule type="expression" dxfId="172" priority="3">
      <formula>#REF!="nee"</formula>
    </cfRule>
  </conditionalFormatting>
  <conditionalFormatting sqref="E11:F11 A13:H15">
    <cfRule type="expression" dxfId="171" priority="18">
      <formula>#REF!="nee"</formula>
    </cfRule>
  </conditionalFormatting>
  <conditionalFormatting sqref="G17">
    <cfRule type="expression" dxfId="170" priority="15">
      <formula>#REF!="Nee"</formula>
    </cfRule>
  </conditionalFormatting>
  <conditionalFormatting sqref="G19:G21">
    <cfRule type="expression" dxfId="169" priority="1">
      <formula>#REF!="Nee"</formula>
    </cfRule>
  </conditionalFormatting>
  <hyperlinks>
    <hyperlink ref="A19" location="Aardgas!A1" display="Aardgas voor verwarming " xr:uid="{00000000-0004-0000-0300-000000000000}"/>
    <hyperlink ref="A13" location="'Mobiele werktuigen'!A1" display="Materieel (mobiele werktuigen): diesel" xr:uid="{00000000-0004-0000-0300-000001000000}"/>
    <hyperlink ref="A11" location="Dieselverbruik!A1" display="Dieselverbruik bussen" xr:uid="{00000000-0004-0000-0300-000002000000}"/>
    <hyperlink ref="A17" location="Elektriciteit!A1" display="Grijze stroom Brakel" xr:uid="{00000000-0004-0000-0300-000003000000}"/>
  </hyperlinks>
  <pageMargins left="0.23622047244094491" right="0.23622047244094491" top="0.74803149606299213" bottom="0.74803149606299213" header="0.31496062992125984" footer="0.31496062992125984"/>
  <pageSetup paperSize="9" scale="53"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170</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172</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48337</v>
      </c>
      <c r="D11" s="8" t="s">
        <v>24</v>
      </c>
      <c r="E11" s="29">
        <v>3.23</v>
      </c>
      <c r="F11" s="9" t="s">
        <v>88</v>
      </c>
      <c r="G11" s="30">
        <f>C11*E11/1000</f>
        <v>156.12851000000001</v>
      </c>
      <c r="H11" s="38"/>
      <c r="I11" s="2"/>
    </row>
    <row r="12" spans="1:9" ht="15" x14ac:dyDescent="0.2">
      <c r="A12" s="24" t="s">
        <v>98</v>
      </c>
      <c r="B12" s="25"/>
      <c r="C12" s="25"/>
      <c r="D12" s="25"/>
      <c r="E12" s="25"/>
      <c r="F12" s="25"/>
      <c r="G12" s="25"/>
      <c r="H12" s="25"/>
      <c r="I12" s="25"/>
    </row>
    <row r="13" spans="1:9" ht="16" x14ac:dyDescent="0.15">
      <c r="A13" s="3" t="s">
        <v>161</v>
      </c>
      <c r="B13" s="14">
        <v>1</v>
      </c>
      <c r="C13" s="35">
        <v>903</v>
      </c>
      <c r="D13" s="9" t="s">
        <v>25</v>
      </c>
      <c r="E13" s="29">
        <v>1.806</v>
      </c>
      <c r="F13" s="9" t="s">
        <v>88</v>
      </c>
      <c r="G13" s="30">
        <f>C13*E13/1000</f>
        <v>1.6308179999999999</v>
      </c>
      <c r="H13" s="34"/>
      <c r="I13" s="2" t="s">
        <v>162</v>
      </c>
    </row>
    <row r="14" spans="1:9" ht="16" x14ac:dyDescent="0.15">
      <c r="A14" s="3" t="s">
        <v>168</v>
      </c>
      <c r="B14" s="14">
        <v>1</v>
      </c>
      <c r="C14" s="35"/>
      <c r="D14" s="9" t="s">
        <v>167</v>
      </c>
      <c r="E14" s="29">
        <v>1.7250000000000001</v>
      </c>
      <c r="F14" s="9" t="s">
        <v>88</v>
      </c>
      <c r="G14" s="30">
        <f>C14*E14/1000</f>
        <v>0</v>
      </c>
      <c r="H14" s="34"/>
      <c r="I14" s="2"/>
    </row>
    <row r="15" spans="1:9" ht="16" x14ac:dyDescent="0.15">
      <c r="A15" s="3" t="s">
        <v>89</v>
      </c>
      <c r="B15" s="14">
        <v>1</v>
      </c>
      <c r="C15" s="35">
        <v>1574</v>
      </c>
      <c r="D15" s="9" t="s">
        <v>167</v>
      </c>
      <c r="E15" s="29">
        <v>2.74</v>
      </c>
      <c r="F15" s="9" t="s">
        <v>88</v>
      </c>
      <c r="G15" s="30">
        <f>C15*E15/1000</f>
        <v>4.3127599999999999</v>
      </c>
      <c r="H15" s="34"/>
      <c r="I15" s="2"/>
    </row>
    <row r="16" spans="1:9" ht="15" x14ac:dyDescent="0.2">
      <c r="A16" s="24" t="s">
        <v>83</v>
      </c>
      <c r="B16" s="25"/>
      <c r="C16" s="25"/>
      <c r="D16" s="25"/>
      <c r="E16" s="25"/>
      <c r="F16" s="25"/>
      <c r="G16" s="25"/>
      <c r="H16" s="25"/>
      <c r="I16" s="25"/>
    </row>
    <row r="17" spans="1:9" ht="16" x14ac:dyDescent="0.15">
      <c r="A17" s="3" t="s">
        <v>4</v>
      </c>
      <c r="B17" s="14">
        <v>2</v>
      </c>
      <c r="C17" s="37">
        <v>23076</v>
      </c>
      <c r="D17" s="9" t="s">
        <v>2</v>
      </c>
      <c r="E17" s="9">
        <v>0.52600000000000002</v>
      </c>
      <c r="F17" s="9" t="s">
        <v>85</v>
      </c>
      <c r="G17" s="30">
        <f t="shared" ref="G17" si="0">C17*E17/1000</f>
        <v>12.137976</v>
      </c>
      <c r="H17" s="60"/>
      <c r="I17" s="2"/>
    </row>
    <row r="18" spans="1:9" ht="15" x14ac:dyDescent="0.2">
      <c r="A18" s="24" t="s">
        <v>84</v>
      </c>
      <c r="B18" s="25"/>
      <c r="C18" s="25"/>
      <c r="D18" s="25"/>
      <c r="E18" s="25"/>
      <c r="F18" s="25"/>
      <c r="G18" s="25"/>
      <c r="H18" s="25"/>
      <c r="I18" s="25"/>
    </row>
    <row r="19" spans="1:9" ht="16" x14ac:dyDescent="0.15">
      <c r="A19" s="3" t="s">
        <v>163</v>
      </c>
      <c r="B19" s="13">
        <v>1</v>
      </c>
      <c r="C19" s="48">
        <v>6486</v>
      </c>
      <c r="D19" s="16" t="s">
        <v>87</v>
      </c>
      <c r="E19" s="16">
        <v>1.8839999999999999</v>
      </c>
      <c r="F19" s="9" t="s">
        <v>86</v>
      </c>
      <c r="G19" s="30">
        <f t="shared" ref="G19" si="1">C19*E19/1000</f>
        <v>12.219624</v>
      </c>
      <c r="H19" s="16"/>
      <c r="I19" s="2"/>
    </row>
    <row r="20" spans="1:9" ht="21" x14ac:dyDescent="0.2">
      <c r="A20" s="33" t="s">
        <v>13</v>
      </c>
      <c r="B20" s="31"/>
      <c r="C20" s="31"/>
      <c r="D20" s="31"/>
      <c r="E20" s="31"/>
      <c r="F20" s="31"/>
      <c r="G20" s="32">
        <f>SUM(G11:G19)</f>
        <v>186.42968800000003</v>
      </c>
      <c r="H20" s="39">
        <f>SUM(H11:H19)</f>
        <v>0</v>
      </c>
      <c r="I20" s="31"/>
    </row>
    <row r="22" spans="1:9" ht="16" x14ac:dyDescent="0.2">
      <c r="D22" s="41"/>
      <c r="E22" s="41"/>
      <c r="F22" s="44" t="s">
        <v>97</v>
      </c>
      <c r="G22" s="45"/>
    </row>
    <row r="23" spans="1:9" ht="16" x14ac:dyDescent="0.2">
      <c r="D23" s="41"/>
      <c r="E23" s="41"/>
      <c r="F23" s="42" t="s">
        <v>95</v>
      </c>
      <c r="G23" s="43">
        <f>G11+G13+G14+G15+G19</f>
        <v>174.29171200000002</v>
      </c>
    </row>
    <row r="24" spans="1:9" ht="16" x14ac:dyDescent="0.2">
      <c r="D24" s="41"/>
      <c r="E24" s="41"/>
      <c r="F24" s="46" t="s">
        <v>96</v>
      </c>
      <c r="G24" s="47">
        <f>G17</f>
        <v>12.137976</v>
      </c>
    </row>
    <row r="25" spans="1:9" ht="16" x14ac:dyDescent="0.2">
      <c r="D25" s="321" t="s">
        <v>99</v>
      </c>
      <c r="E25" s="321"/>
      <c r="F25" s="321"/>
      <c r="G25" s="321"/>
    </row>
    <row r="26" spans="1:9" ht="16" x14ac:dyDescent="0.2">
      <c r="D26" s="321" t="s">
        <v>82</v>
      </c>
      <c r="E26" s="321"/>
      <c r="F26" s="321"/>
      <c r="G26" s="43">
        <f>G11</f>
        <v>156.12851000000001</v>
      </c>
    </row>
    <row r="27" spans="1:9" ht="16" x14ac:dyDescent="0.2">
      <c r="D27" s="321" t="s">
        <v>98</v>
      </c>
      <c r="E27" s="321"/>
      <c r="F27" s="321"/>
      <c r="G27" s="43">
        <f>G13+G14+G15</f>
        <v>5.9435779999999996</v>
      </c>
    </row>
    <row r="28" spans="1:9" ht="16" x14ac:dyDescent="0.2">
      <c r="D28" s="321" t="s">
        <v>83</v>
      </c>
      <c r="E28" s="321"/>
      <c r="F28" s="321"/>
      <c r="G28" s="43">
        <f>G17</f>
        <v>12.137976</v>
      </c>
    </row>
    <row r="29" spans="1:9" ht="16" x14ac:dyDescent="0.2">
      <c r="D29" s="321" t="s">
        <v>84</v>
      </c>
      <c r="E29" s="321"/>
      <c r="F29" s="321"/>
      <c r="G29" s="43">
        <f>G19</f>
        <v>12.219624</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68" priority="7">
      <formula>$C$12="nee"</formula>
    </cfRule>
  </conditionalFormatting>
  <conditionalFormatting sqref="A14:A15">
    <cfRule type="expression" dxfId="167" priority="4">
      <formula>#REF!="nee"</formula>
    </cfRule>
  </conditionalFormatting>
  <conditionalFormatting sqref="A11:H11 G13:G15">
    <cfRule type="expression" dxfId="166" priority="9">
      <formula>#REF!="Nee"</formula>
    </cfRule>
  </conditionalFormatting>
  <conditionalFormatting sqref="A17:H17 A19:H19">
    <cfRule type="expression" dxfId="165" priority="6">
      <formula>#REF!="nee"</formula>
    </cfRule>
  </conditionalFormatting>
  <conditionalFormatting sqref="E13">
    <cfRule type="expression" dxfId="164" priority="1">
      <formula>#REF!="nee"</formula>
    </cfRule>
  </conditionalFormatting>
  <conditionalFormatting sqref="E11:F11 A13:H15">
    <cfRule type="expression" dxfId="163" priority="8">
      <formula>#REF!="nee"</formula>
    </cfRule>
  </conditionalFormatting>
  <conditionalFormatting sqref="G17 G19">
    <cfRule type="expression" dxfId="162" priority="5">
      <formula>#REF!="Nee"</formula>
    </cfRule>
  </conditionalFormatting>
  <hyperlinks>
    <hyperlink ref="A19" location="Aardgas!A1" display="Aardgas voor verwarming " xr:uid="{00000000-0004-0000-0400-000000000000}"/>
    <hyperlink ref="A13" location="'Mobiele werktuigen'!A1" display="Materieel (mobiele werktuigen): diesel" xr:uid="{00000000-0004-0000-0400-000001000000}"/>
    <hyperlink ref="A11" location="Dieselverbruik!A1" display="Dieselverbruik bussen" xr:uid="{00000000-0004-0000-0400-000002000000}"/>
    <hyperlink ref="A17" location="Elektriciteit!A1" display="Grijze stroom Brakel" xr:uid="{00000000-0004-0000-0400-000003000000}"/>
  </hyperlinks>
  <pageMargins left="0.23622047244094491" right="0.23622047244094491"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170</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175</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108893.65</v>
      </c>
      <c r="D11" s="8" t="s">
        <v>24</v>
      </c>
      <c r="E11" s="29">
        <v>3.23</v>
      </c>
      <c r="F11" s="9" t="s">
        <v>88</v>
      </c>
      <c r="G11" s="30">
        <f>C11*E11/1000</f>
        <v>351.72648949999996</v>
      </c>
      <c r="H11" s="38"/>
      <c r="I11" s="2"/>
    </row>
    <row r="12" spans="1:9" ht="15" x14ac:dyDescent="0.2">
      <c r="A12" s="24" t="s">
        <v>98</v>
      </c>
      <c r="B12" s="25"/>
      <c r="C12" s="25"/>
      <c r="D12" s="25"/>
      <c r="E12" s="25"/>
      <c r="F12" s="25"/>
      <c r="G12" s="25"/>
      <c r="H12" s="25"/>
      <c r="I12" s="25"/>
    </row>
    <row r="13" spans="1:9" ht="16" x14ac:dyDescent="0.15">
      <c r="A13" s="3" t="s">
        <v>161</v>
      </c>
      <c r="B13" s="14">
        <v>1</v>
      </c>
      <c r="C13" s="35">
        <v>3045</v>
      </c>
      <c r="D13" s="9" t="s">
        <v>25</v>
      </c>
      <c r="E13" s="29">
        <v>1.806</v>
      </c>
      <c r="F13" s="9" t="s">
        <v>88</v>
      </c>
      <c r="G13" s="30">
        <f>C13*E13/1000</f>
        <v>5.4992700000000001</v>
      </c>
      <c r="H13" s="34"/>
      <c r="I13" s="2" t="s">
        <v>162</v>
      </c>
    </row>
    <row r="14" spans="1:9" ht="16" x14ac:dyDescent="0.15">
      <c r="A14" s="3" t="s">
        <v>168</v>
      </c>
      <c r="B14" s="14">
        <v>1</v>
      </c>
      <c r="C14" s="35">
        <v>462</v>
      </c>
      <c r="D14" s="9" t="s">
        <v>167</v>
      </c>
      <c r="E14" s="29">
        <v>1.7250000000000001</v>
      </c>
      <c r="F14" s="9" t="s">
        <v>88</v>
      </c>
      <c r="G14" s="30">
        <f>C14*E14/1000</f>
        <v>0.79695000000000005</v>
      </c>
      <c r="H14" s="34"/>
      <c r="I14" s="2"/>
    </row>
    <row r="15" spans="1:9" ht="16" x14ac:dyDescent="0.15">
      <c r="A15" s="3" t="s">
        <v>89</v>
      </c>
      <c r="B15" s="14">
        <v>1</v>
      </c>
      <c r="C15" s="35">
        <v>2246.36</v>
      </c>
      <c r="D15" s="9" t="s">
        <v>167</v>
      </c>
      <c r="E15" s="29">
        <v>2.74</v>
      </c>
      <c r="F15" s="9" t="s">
        <v>88</v>
      </c>
      <c r="G15" s="30">
        <f>C15*E15/1000</f>
        <v>6.1550264000000006</v>
      </c>
      <c r="H15" s="34"/>
      <c r="I15" s="2"/>
    </row>
    <row r="16" spans="1:9" ht="15" x14ac:dyDescent="0.2">
      <c r="A16" s="24" t="s">
        <v>83</v>
      </c>
      <c r="B16" s="25"/>
      <c r="C16" s="25"/>
      <c r="D16" s="25"/>
      <c r="E16" s="25"/>
      <c r="F16" s="25"/>
      <c r="G16" s="25"/>
      <c r="H16" s="25"/>
      <c r="I16" s="25"/>
    </row>
    <row r="17" spans="1:9" ht="16" x14ac:dyDescent="0.15">
      <c r="A17" s="3" t="s">
        <v>4</v>
      </c>
      <c r="B17" s="14">
        <v>2</v>
      </c>
      <c r="C17" s="37">
        <v>43203</v>
      </c>
      <c r="D17" s="9" t="s">
        <v>2</v>
      </c>
      <c r="E17" s="9">
        <v>0.52600000000000002</v>
      </c>
      <c r="F17" s="9" t="s">
        <v>85</v>
      </c>
      <c r="G17" s="30">
        <f t="shared" ref="G17" si="0">C17*E17/1000</f>
        <v>22.724778000000001</v>
      </c>
      <c r="H17" s="60"/>
      <c r="I17" s="2"/>
    </row>
    <row r="18" spans="1:9" ht="15" x14ac:dyDescent="0.2">
      <c r="A18" s="24" t="s">
        <v>84</v>
      </c>
      <c r="B18" s="25"/>
      <c r="C18" s="25"/>
      <c r="D18" s="25"/>
      <c r="E18" s="25"/>
      <c r="F18" s="25"/>
      <c r="G18" s="25"/>
      <c r="H18" s="25"/>
      <c r="I18" s="25"/>
    </row>
    <row r="19" spans="1:9" ht="16" x14ac:dyDescent="0.15">
      <c r="A19" s="3" t="s">
        <v>163</v>
      </c>
      <c r="B19" s="13">
        <v>1</v>
      </c>
      <c r="C19" s="48">
        <v>12274</v>
      </c>
      <c r="D19" s="16" t="s">
        <v>87</v>
      </c>
      <c r="E19" s="16">
        <v>1.8839999999999999</v>
      </c>
      <c r="F19" s="9" t="s">
        <v>86</v>
      </c>
      <c r="G19" s="30">
        <f t="shared" ref="G19" si="1">C19*E19/1000</f>
        <v>23.124216000000001</v>
      </c>
      <c r="H19" s="16"/>
      <c r="I19" s="2"/>
    </row>
    <row r="20" spans="1:9" ht="21" x14ac:dyDescent="0.2">
      <c r="A20" s="33" t="s">
        <v>13</v>
      </c>
      <c r="B20" s="31"/>
      <c r="C20" s="31"/>
      <c r="D20" s="31"/>
      <c r="E20" s="31"/>
      <c r="F20" s="31"/>
      <c r="G20" s="32">
        <f>SUM(G11:G19)</f>
        <v>410.02672989999996</v>
      </c>
      <c r="H20" s="39">
        <f>SUM(H11:H19)</f>
        <v>0</v>
      </c>
      <c r="I20" s="31"/>
    </row>
    <row r="22" spans="1:9" ht="16" x14ac:dyDescent="0.2">
      <c r="D22" s="41"/>
      <c r="E22" s="41"/>
      <c r="F22" s="44" t="s">
        <v>97</v>
      </c>
      <c r="G22" s="45"/>
    </row>
    <row r="23" spans="1:9" ht="16" x14ac:dyDescent="0.2">
      <c r="D23" s="41"/>
      <c r="E23" s="41"/>
      <c r="F23" s="42" t="s">
        <v>95</v>
      </c>
      <c r="G23" s="43">
        <f>G11+G13+G14+G15+G19</f>
        <v>387.30195189999995</v>
      </c>
    </row>
    <row r="24" spans="1:9" ht="16" x14ac:dyDescent="0.2">
      <c r="D24" s="41"/>
      <c r="E24" s="41"/>
      <c r="F24" s="46" t="s">
        <v>96</v>
      </c>
      <c r="G24" s="47">
        <f>G17</f>
        <v>22.724778000000001</v>
      </c>
    </row>
    <row r="25" spans="1:9" ht="16" x14ac:dyDescent="0.2">
      <c r="D25" s="321" t="s">
        <v>99</v>
      </c>
      <c r="E25" s="321"/>
      <c r="F25" s="321"/>
      <c r="G25" s="321"/>
    </row>
    <row r="26" spans="1:9" ht="16" x14ac:dyDescent="0.2">
      <c r="D26" s="321" t="s">
        <v>82</v>
      </c>
      <c r="E26" s="321"/>
      <c r="F26" s="321"/>
      <c r="G26" s="43">
        <f>G11</f>
        <v>351.72648949999996</v>
      </c>
    </row>
    <row r="27" spans="1:9" ht="16" x14ac:dyDescent="0.2">
      <c r="D27" s="321" t="s">
        <v>98</v>
      </c>
      <c r="E27" s="321"/>
      <c r="F27" s="321"/>
      <c r="G27" s="43">
        <f>G13+G14+G15</f>
        <v>12.4512464</v>
      </c>
    </row>
    <row r="28" spans="1:9" ht="16" x14ac:dyDescent="0.2">
      <c r="D28" s="321" t="s">
        <v>83</v>
      </c>
      <c r="E28" s="321"/>
      <c r="F28" s="321"/>
      <c r="G28" s="43">
        <f>G17</f>
        <v>22.724778000000001</v>
      </c>
    </row>
    <row r="29" spans="1:9" ht="16" x14ac:dyDescent="0.2">
      <c r="D29" s="321" t="s">
        <v>84</v>
      </c>
      <c r="E29" s="321"/>
      <c r="F29" s="321"/>
      <c r="G29" s="43">
        <f>G19</f>
        <v>23.124216000000001</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61" priority="9">
      <formula>$C$12="nee"</formula>
    </cfRule>
  </conditionalFormatting>
  <conditionalFormatting sqref="A14:A15">
    <cfRule type="expression" dxfId="160" priority="4">
      <formula>#REF!="nee"</formula>
    </cfRule>
  </conditionalFormatting>
  <conditionalFormatting sqref="A11:H11 G13:G15">
    <cfRule type="expression" dxfId="159" priority="11">
      <formula>#REF!="Nee"</formula>
    </cfRule>
  </conditionalFormatting>
  <conditionalFormatting sqref="A17:H17 A19:H19">
    <cfRule type="expression" dxfId="158" priority="8">
      <formula>#REF!="nee"</formula>
    </cfRule>
  </conditionalFormatting>
  <conditionalFormatting sqref="E13">
    <cfRule type="expression" dxfId="157" priority="1">
      <formula>#REF!="nee"</formula>
    </cfRule>
  </conditionalFormatting>
  <conditionalFormatting sqref="E11:F11 A13:H15">
    <cfRule type="expression" dxfId="156" priority="10">
      <formula>#REF!="nee"</formula>
    </cfRule>
  </conditionalFormatting>
  <conditionalFormatting sqref="G17 G19">
    <cfRule type="expression" dxfId="155" priority="7">
      <formula>#REF!="Nee"</formula>
    </cfRule>
  </conditionalFormatting>
  <hyperlinks>
    <hyperlink ref="A19" location="Aardgas!A1" display="Aardgas voor verwarming " xr:uid="{00000000-0004-0000-0500-000000000000}"/>
    <hyperlink ref="A13" location="'Mobiele werktuigen'!A1" display="Materieel (mobiele werktuigen): diesel" xr:uid="{00000000-0004-0000-0500-000001000000}"/>
    <hyperlink ref="A11" location="Dieselverbruik!A1" display="Dieselverbruik bussen" xr:uid="{00000000-0004-0000-0500-000002000000}"/>
    <hyperlink ref="A17" location="Elektriciteit!A1" display="Grijze stroom Brakel" xr:uid="{00000000-0004-0000-05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173</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174</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45040</v>
      </c>
      <c r="D11" s="8" t="s">
        <v>24</v>
      </c>
      <c r="E11" s="29">
        <v>3.23</v>
      </c>
      <c r="F11" s="9" t="s">
        <v>88</v>
      </c>
      <c r="G11" s="30">
        <f>C11*E11/1000</f>
        <v>145.47920000000002</v>
      </c>
      <c r="H11" s="38"/>
      <c r="I11" s="2"/>
    </row>
    <row r="12" spans="1:9" ht="15" x14ac:dyDescent="0.2">
      <c r="A12" s="24" t="s">
        <v>98</v>
      </c>
      <c r="B12" s="25"/>
      <c r="C12" s="25"/>
      <c r="D12" s="25"/>
      <c r="E12" s="25"/>
      <c r="F12" s="25"/>
      <c r="G12" s="25"/>
      <c r="H12" s="25"/>
      <c r="I12" s="25"/>
    </row>
    <row r="13" spans="1:9" ht="16" x14ac:dyDescent="0.15">
      <c r="A13" s="3" t="s">
        <v>161</v>
      </c>
      <c r="B13" s="14">
        <v>1</v>
      </c>
      <c r="C13" s="35">
        <v>420</v>
      </c>
      <c r="D13" s="9" t="s">
        <v>25</v>
      </c>
      <c r="E13" s="29">
        <v>1.806</v>
      </c>
      <c r="F13" s="9" t="s">
        <v>88</v>
      </c>
      <c r="G13" s="30">
        <f>C13*E13/1000</f>
        <v>0.75851999999999997</v>
      </c>
      <c r="H13" s="34"/>
      <c r="I13" s="2" t="s">
        <v>162</v>
      </c>
    </row>
    <row r="14" spans="1:9" ht="16" x14ac:dyDescent="0.15">
      <c r="A14" s="3" t="s">
        <v>168</v>
      </c>
      <c r="B14" s="14">
        <v>1</v>
      </c>
      <c r="C14" s="35">
        <v>147</v>
      </c>
      <c r="D14" s="9" t="s">
        <v>167</v>
      </c>
      <c r="E14" s="29">
        <v>1.7250000000000001</v>
      </c>
      <c r="F14" s="9" t="s">
        <v>88</v>
      </c>
      <c r="G14" s="30">
        <f>C14*E14/1000</f>
        <v>0.25357499999999999</v>
      </c>
      <c r="H14" s="34"/>
      <c r="I14" s="2"/>
    </row>
    <row r="15" spans="1:9" ht="16" x14ac:dyDescent="0.15">
      <c r="A15" s="3" t="s">
        <v>89</v>
      </c>
      <c r="B15" s="14">
        <v>1</v>
      </c>
      <c r="C15" s="35">
        <v>2925</v>
      </c>
      <c r="D15" s="9" t="s">
        <v>167</v>
      </c>
      <c r="E15" s="29">
        <v>2.74</v>
      </c>
      <c r="F15" s="9" t="s">
        <v>88</v>
      </c>
      <c r="G15" s="30">
        <f>C15*E15/1000</f>
        <v>8.0145000000000017</v>
      </c>
      <c r="H15" s="34"/>
      <c r="I15" s="2"/>
    </row>
    <row r="16" spans="1:9" ht="15" x14ac:dyDescent="0.2">
      <c r="A16" s="24" t="s">
        <v>83</v>
      </c>
      <c r="B16" s="25"/>
      <c r="C16" s="25"/>
      <c r="D16" s="25"/>
      <c r="E16" s="25"/>
      <c r="F16" s="25"/>
      <c r="G16" s="25"/>
      <c r="H16" s="25"/>
      <c r="I16" s="25"/>
    </row>
    <row r="17" spans="1:9" ht="16" x14ac:dyDescent="0.15">
      <c r="A17" s="3" t="s">
        <v>31</v>
      </c>
      <c r="B17" s="14">
        <v>2</v>
      </c>
      <c r="C17" s="37">
        <v>20706</v>
      </c>
      <c r="D17" s="9" t="s">
        <v>2</v>
      </c>
      <c r="E17" s="9">
        <v>0</v>
      </c>
      <c r="F17" s="9" t="s">
        <v>85</v>
      </c>
      <c r="G17" s="30">
        <f t="shared" ref="G17" si="0">C17*E17/1000</f>
        <v>0</v>
      </c>
      <c r="H17" s="60"/>
      <c r="I17" s="2"/>
    </row>
    <row r="18" spans="1:9" ht="15" x14ac:dyDescent="0.2">
      <c r="A18" s="24" t="s">
        <v>84</v>
      </c>
      <c r="B18" s="25"/>
      <c r="C18" s="25"/>
      <c r="D18" s="25"/>
      <c r="E18" s="25"/>
      <c r="F18" s="25"/>
      <c r="G18" s="25"/>
      <c r="H18" s="25"/>
      <c r="I18" s="25"/>
    </row>
    <row r="19" spans="1:9" ht="16" x14ac:dyDescent="0.15">
      <c r="A19" s="3" t="s">
        <v>163</v>
      </c>
      <c r="B19" s="13">
        <v>1</v>
      </c>
      <c r="C19" s="48">
        <v>7643</v>
      </c>
      <c r="D19" s="16" t="s">
        <v>87</v>
      </c>
      <c r="E19" s="16">
        <v>1.8839999999999999</v>
      </c>
      <c r="F19" s="9" t="s">
        <v>86</v>
      </c>
      <c r="G19" s="30">
        <f t="shared" ref="G19" si="1">C19*E19/1000</f>
        <v>14.399411999999998</v>
      </c>
      <c r="H19" s="16"/>
      <c r="I19" s="2"/>
    </row>
    <row r="20" spans="1:9" ht="21" x14ac:dyDescent="0.2">
      <c r="A20" s="33" t="s">
        <v>13</v>
      </c>
      <c r="B20" s="31"/>
      <c r="C20" s="31"/>
      <c r="D20" s="31"/>
      <c r="E20" s="31"/>
      <c r="F20" s="31"/>
      <c r="G20" s="32">
        <f>SUM(G11:G19)</f>
        <v>168.90520700000002</v>
      </c>
      <c r="H20" s="39">
        <f>SUM(H11:H19)</f>
        <v>0</v>
      </c>
      <c r="I20" s="31"/>
    </row>
    <row r="22" spans="1:9" ht="16" x14ac:dyDescent="0.2">
      <c r="D22" s="41"/>
      <c r="E22" s="41"/>
      <c r="F22" s="44" t="s">
        <v>97</v>
      </c>
      <c r="G22" s="45"/>
    </row>
    <row r="23" spans="1:9" ht="16" x14ac:dyDescent="0.2">
      <c r="D23" s="41"/>
      <c r="E23" s="41"/>
      <c r="F23" s="42" t="s">
        <v>95</v>
      </c>
      <c r="G23" s="43">
        <f>G11+G13+G14+G15+G19</f>
        <v>168.90520700000002</v>
      </c>
    </row>
    <row r="24" spans="1:9" ht="16" x14ac:dyDescent="0.2">
      <c r="D24" s="41"/>
      <c r="E24" s="41"/>
      <c r="F24" s="46" t="s">
        <v>96</v>
      </c>
      <c r="G24" s="47">
        <f>G17</f>
        <v>0</v>
      </c>
    </row>
    <row r="25" spans="1:9" ht="16" x14ac:dyDescent="0.2">
      <c r="D25" s="321" t="s">
        <v>99</v>
      </c>
      <c r="E25" s="321"/>
      <c r="F25" s="321"/>
      <c r="G25" s="321"/>
    </row>
    <row r="26" spans="1:9" ht="16" x14ac:dyDescent="0.2">
      <c r="D26" s="321" t="s">
        <v>159</v>
      </c>
      <c r="E26" s="321"/>
      <c r="F26" s="321"/>
      <c r="G26" s="43">
        <f>G11</f>
        <v>145.47920000000002</v>
      </c>
    </row>
    <row r="27" spans="1:9" ht="16" x14ac:dyDescent="0.2">
      <c r="D27" s="321" t="s">
        <v>98</v>
      </c>
      <c r="E27" s="321"/>
      <c r="F27" s="321"/>
      <c r="G27" s="43">
        <f>G13+G14+G15</f>
        <v>9.0265950000000021</v>
      </c>
    </row>
    <row r="28" spans="1:9" ht="16" x14ac:dyDescent="0.2">
      <c r="D28" s="321" t="s">
        <v>83</v>
      </c>
      <c r="E28" s="321"/>
      <c r="F28" s="321"/>
      <c r="G28" s="43">
        <f>G17</f>
        <v>0</v>
      </c>
    </row>
    <row r="29" spans="1:9" ht="16" x14ac:dyDescent="0.2">
      <c r="D29" s="321" t="s">
        <v>84</v>
      </c>
      <c r="E29" s="321"/>
      <c r="F29" s="321"/>
      <c r="G29" s="43">
        <f>G19</f>
        <v>14.399411999999998</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54" priority="5">
      <formula>$C$12="nee"</formula>
    </cfRule>
  </conditionalFormatting>
  <conditionalFormatting sqref="A11:H11 G13:G15">
    <cfRule type="expression" dxfId="153" priority="7">
      <formula>#REF!="Nee"</formula>
    </cfRule>
  </conditionalFormatting>
  <conditionalFormatting sqref="A17:H17 A19:H19">
    <cfRule type="expression" dxfId="152" priority="4">
      <formula>#REF!="nee"</formula>
    </cfRule>
  </conditionalFormatting>
  <conditionalFormatting sqref="E13">
    <cfRule type="expression" dxfId="151" priority="1">
      <formula>#REF!="nee"</formula>
    </cfRule>
  </conditionalFormatting>
  <conditionalFormatting sqref="E11:F11 A13:H15">
    <cfRule type="expression" dxfId="150" priority="6">
      <formula>#REF!="nee"</formula>
    </cfRule>
  </conditionalFormatting>
  <conditionalFormatting sqref="G17 G19">
    <cfRule type="expression" dxfId="149" priority="3">
      <formula>#REF!="Nee"</formula>
    </cfRule>
  </conditionalFormatting>
  <hyperlinks>
    <hyperlink ref="A19" location="Aardgas!A1" display="Aardgas voor verwarming " xr:uid="{00000000-0004-0000-0600-000000000000}"/>
    <hyperlink ref="A13" location="'Mobiele werktuigen'!A1" display="Materieel (mobiele werktuigen): diesel" xr:uid="{00000000-0004-0000-0600-000001000000}"/>
    <hyperlink ref="A11" location="Dieselverbruik!A1" display="Dieselverbruik bussen" xr:uid="{00000000-0004-0000-0600-000002000000}"/>
    <hyperlink ref="A17" location="Elektriciteit!A1" display="Grijze stroom Brakel" xr:uid="{00000000-0004-0000-06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90</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f>'3.A.1 Emissie inventaris'!B14</f>
        <v>4081360</v>
      </c>
      <c r="C4" s="322"/>
      <c r="D4" s="322"/>
      <c r="E4" s="322"/>
    </row>
    <row r="5" spans="1:9" ht="19" x14ac:dyDescent="0.2">
      <c r="A5" s="7" t="s">
        <v>15</v>
      </c>
      <c r="B5" s="322" t="s">
        <v>71</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34">
        <v>104961</v>
      </c>
      <c r="D11" s="8" t="s">
        <v>24</v>
      </c>
      <c r="E11" s="29">
        <v>3.23</v>
      </c>
      <c r="F11" s="9" t="s">
        <v>88</v>
      </c>
      <c r="G11" s="30">
        <f>C11*E11/1000</f>
        <v>339.02402999999998</v>
      </c>
      <c r="H11" s="38"/>
      <c r="I11" s="2"/>
    </row>
    <row r="12" spans="1:9" ht="15" x14ac:dyDescent="0.2">
      <c r="A12" s="24" t="s">
        <v>98</v>
      </c>
      <c r="B12" s="25"/>
      <c r="C12" s="25"/>
      <c r="D12" s="25"/>
      <c r="E12" s="25"/>
      <c r="F12" s="25"/>
      <c r="G12" s="25"/>
      <c r="H12" s="25"/>
      <c r="I12" s="25"/>
    </row>
    <row r="13" spans="1:9" ht="16" x14ac:dyDescent="0.15">
      <c r="A13" s="3" t="s">
        <v>161</v>
      </c>
      <c r="B13" s="14">
        <v>1</v>
      </c>
      <c r="C13" s="35">
        <v>651</v>
      </c>
      <c r="D13" s="9" t="s">
        <v>25</v>
      </c>
      <c r="E13" s="29">
        <v>1.806</v>
      </c>
      <c r="F13" s="9" t="s">
        <v>88</v>
      </c>
      <c r="G13" s="30">
        <f>C13*E13/1000</f>
        <v>1.1757060000000001</v>
      </c>
      <c r="H13" s="34"/>
      <c r="I13" s="2" t="s">
        <v>162</v>
      </c>
    </row>
    <row r="14" spans="1:9" ht="16" x14ac:dyDescent="0.15">
      <c r="A14" s="3" t="s">
        <v>168</v>
      </c>
      <c r="B14" s="14">
        <v>1</v>
      </c>
      <c r="C14" s="35">
        <v>462</v>
      </c>
      <c r="D14" s="9" t="s">
        <v>167</v>
      </c>
      <c r="E14" s="29">
        <v>1.7250000000000001</v>
      </c>
      <c r="F14" s="9" t="s">
        <v>88</v>
      </c>
      <c r="G14" s="30">
        <f>C14*E14/1000</f>
        <v>0.79695000000000005</v>
      </c>
      <c r="H14" s="34"/>
      <c r="I14" s="2" t="s">
        <v>229</v>
      </c>
    </row>
    <row r="15" spans="1:9" ht="16" x14ac:dyDescent="0.15">
      <c r="A15" s="3" t="s">
        <v>89</v>
      </c>
      <c r="B15" s="14">
        <v>1</v>
      </c>
      <c r="C15" s="35">
        <v>5156</v>
      </c>
      <c r="D15" s="9" t="s">
        <v>167</v>
      </c>
      <c r="E15" s="29">
        <v>2.74</v>
      </c>
      <c r="F15" s="9" t="s">
        <v>88</v>
      </c>
      <c r="G15" s="30">
        <f>C15*E15/1000</f>
        <v>14.12744</v>
      </c>
      <c r="H15" s="139"/>
      <c r="I15" s="2"/>
    </row>
    <row r="16" spans="1:9" ht="15" x14ac:dyDescent="0.2">
      <c r="A16" s="24" t="s">
        <v>83</v>
      </c>
      <c r="B16" s="25"/>
      <c r="C16" s="25"/>
      <c r="D16" s="25"/>
      <c r="E16" s="25"/>
      <c r="F16" s="25"/>
      <c r="G16" s="25"/>
      <c r="H16" s="25"/>
      <c r="I16" s="25"/>
    </row>
    <row r="17" spans="1:9" ht="16" x14ac:dyDescent="0.15">
      <c r="A17" s="3" t="s">
        <v>31</v>
      </c>
      <c r="B17" s="14">
        <v>2</v>
      </c>
      <c r="C17" s="37">
        <v>40582</v>
      </c>
      <c r="D17" s="9" t="s">
        <v>2</v>
      </c>
      <c r="E17" s="9">
        <v>0</v>
      </c>
      <c r="F17" s="9" t="s">
        <v>85</v>
      </c>
      <c r="G17" s="30">
        <f t="shared" ref="G17" si="0">C17*E17/1000</f>
        <v>0</v>
      </c>
      <c r="H17" s="60"/>
      <c r="I17" s="2"/>
    </row>
    <row r="18" spans="1:9" ht="15" x14ac:dyDescent="0.2">
      <c r="A18" s="24" t="s">
        <v>84</v>
      </c>
      <c r="B18" s="25"/>
      <c r="C18" s="25"/>
      <c r="D18" s="25"/>
      <c r="E18" s="25"/>
      <c r="F18" s="25"/>
      <c r="G18" s="25"/>
      <c r="H18" s="25"/>
      <c r="I18" s="25"/>
    </row>
    <row r="19" spans="1:9" ht="16" x14ac:dyDescent="0.15">
      <c r="A19" s="3" t="s">
        <v>163</v>
      </c>
      <c r="B19" s="13">
        <v>1</v>
      </c>
      <c r="C19" s="48">
        <v>13587</v>
      </c>
      <c r="D19" s="16" t="s">
        <v>87</v>
      </c>
      <c r="E19" s="16">
        <v>1.8839999999999999</v>
      </c>
      <c r="F19" s="9" t="s">
        <v>86</v>
      </c>
      <c r="G19" s="30">
        <f t="shared" ref="G19" si="1">C19*E19/1000</f>
        <v>25.597908</v>
      </c>
      <c r="H19" s="16"/>
      <c r="I19" s="2"/>
    </row>
    <row r="20" spans="1:9" ht="21" x14ac:dyDescent="0.2">
      <c r="A20" s="33" t="s">
        <v>13</v>
      </c>
      <c r="B20" s="31"/>
      <c r="C20" s="31"/>
      <c r="D20" s="31"/>
      <c r="E20" s="31"/>
      <c r="F20" s="31"/>
      <c r="G20" s="32">
        <f>SUM(G11:G19)</f>
        <v>380.72203399999995</v>
      </c>
      <c r="H20" s="39">
        <f>SUM(H11:H19)</f>
        <v>0</v>
      </c>
      <c r="I20" s="31"/>
    </row>
    <row r="22" spans="1:9" ht="16" x14ac:dyDescent="0.2">
      <c r="D22" s="41"/>
      <c r="E22" s="41"/>
      <c r="F22" s="44" t="s">
        <v>97</v>
      </c>
      <c r="G22" s="45"/>
    </row>
    <row r="23" spans="1:9" ht="16" x14ac:dyDescent="0.2">
      <c r="D23" s="41"/>
      <c r="E23" s="41"/>
      <c r="F23" s="42" t="s">
        <v>95</v>
      </c>
      <c r="G23" s="43">
        <f>G11+G13+G14+G15+G19</f>
        <v>380.72203399999995</v>
      </c>
    </row>
    <row r="24" spans="1:9" ht="16" x14ac:dyDescent="0.2">
      <c r="D24" s="41"/>
      <c r="E24" s="41"/>
      <c r="F24" s="46" t="s">
        <v>96</v>
      </c>
      <c r="G24" s="47">
        <f>G17</f>
        <v>0</v>
      </c>
    </row>
    <row r="25" spans="1:9" ht="16" x14ac:dyDescent="0.2">
      <c r="D25" s="321" t="s">
        <v>99</v>
      </c>
      <c r="E25" s="321"/>
      <c r="F25" s="321"/>
      <c r="G25" s="321"/>
    </row>
    <row r="26" spans="1:9" ht="16" x14ac:dyDescent="0.2">
      <c r="D26" s="321" t="s">
        <v>159</v>
      </c>
      <c r="E26" s="321"/>
      <c r="F26" s="321"/>
      <c r="G26" s="43">
        <f>G11</f>
        <v>339.02402999999998</v>
      </c>
    </row>
    <row r="27" spans="1:9" ht="16" x14ac:dyDescent="0.2">
      <c r="D27" s="321" t="s">
        <v>98</v>
      </c>
      <c r="E27" s="321"/>
      <c r="F27" s="321"/>
      <c r="G27" s="43">
        <f>G13+G14+G15</f>
        <v>16.100096000000001</v>
      </c>
    </row>
    <row r="28" spans="1:9" ht="16" x14ac:dyDescent="0.2">
      <c r="D28" s="321" t="s">
        <v>83</v>
      </c>
      <c r="E28" s="321"/>
      <c r="F28" s="321"/>
      <c r="G28" s="43">
        <f>G17</f>
        <v>0</v>
      </c>
    </row>
    <row r="29" spans="1:9" ht="16" x14ac:dyDescent="0.2">
      <c r="D29" s="321" t="s">
        <v>84</v>
      </c>
      <c r="E29" s="321"/>
      <c r="F29" s="321"/>
      <c r="G29" s="43">
        <f>G19</f>
        <v>25.597908</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48" priority="8">
      <formula>$C$12="nee"</formula>
    </cfRule>
  </conditionalFormatting>
  <conditionalFormatting sqref="A11:H11 G13:G15">
    <cfRule type="expression" dxfId="147" priority="10">
      <formula>#REF!="Nee"</formula>
    </cfRule>
  </conditionalFormatting>
  <conditionalFormatting sqref="A17:H17 A19:H19">
    <cfRule type="expression" dxfId="146" priority="7">
      <formula>#REF!="nee"</formula>
    </cfRule>
  </conditionalFormatting>
  <conditionalFormatting sqref="E13">
    <cfRule type="expression" dxfId="145" priority="1">
      <formula>#REF!="nee"</formula>
    </cfRule>
  </conditionalFormatting>
  <conditionalFormatting sqref="E11:F11 A13:H15">
    <cfRule type="expression" dxfId="144" priority="9">
      <formula>#REF!="nee"</formula>
    </cfRule>
  </conditionalFormatting>
  <conditionalFormatting sqref="G17 G19">
    <cfRule type="expression" dxfId="143" priority="6">
      <formula>#REF!="Nee"</formula>
    </cfRule>
  </conditionalFormatting>
  <hyperlinks>
    <hyperlink ref="A19" location="Aardgas!A1" display="Aardgas voor verwarming " xr:uid="{00000000-0004-0000-0700-000000000000}"/>
    <hyperlink ref="A13" location="'Mobiele werktuigen'!A1" display="Materieel (mobiele werktuigen): diesel" xr:uid="{00000000-0004-0000-0700-000001000000}"/>
    <hyperlink ref="A11" location="Dieselverbruik!A1" display="Dieselverbruik bussen" xr:uid="{00000000-0004-0000-0700-000002000000}"/>
    <hyperlink ref="A17" location="Elektriciteit!A1" display="Grijze stroom Brakel" xr:uid="{00000000-0004-0000-07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9"/>
  <sheetViews>
    <sheetView workbookViewId="0">
      <selection sqref="A1:I1"/>
    </sheetView>
  </sheetViews>
  <sheetFormatPr baseColWidth="10" defaultColWidth="8.83203125" defaultRowHeight="14" x14ac:dyDescent="0.2"/>
  <cols>
    <col min="1" max="1" width="51" style="15" customWidth="1"/>
    <col min="2" max="2" width="6.83203125" style="15" bestFit="1" customWidth="1"/>
    <col min="3" max="3" width="13.33203125" style="15" customWidth="1"/>
    <col min="4" max="4" width="15" style="15" customWidth="1"/>
    <col min="5" max="5" width="15.33203125" style="15" customWidth="1"/>
    <col min="6" max="6" width="16.1640625" style="15" customWidth="1"/>
    <col min="7" max="7" width="10.5" style="15" customWidth="1"/>
    <col min="8" max="8" width="20" style="15" customWidth="1"/>
    <col min="9" max="9" width="39.1640625" style="15" customWidth="1"/>
    <col min="10" max="16384" width="8.83203125" style="15"/>
  </cols>
  <sheetData>
    <row r="1" spans="1:9" ht="21" x14ac:dyDescent="0.2">
      <c r="A1" s="323" t="s">
        <v>92</v>
      </c>
      <c r="B1" s="323"/>
      <c r="C1" s="323"/>
      <c r="D1" s="323"/>
      <c r="E1" s="323"/>
      <c r="F1" s="323"/>
      <c r="G1" s="323"/>
      <c r="H1" s="323"/>
      <c r="I1" s="323"/>
    </row>
    <row r="2" spans="1:9" ht="19" x14ac:dyDescent="0.2">
      <c r="A2" s="7"/>
    </row>
    <row r="3" spans="1:9" ht="19" x14ac:dyDescent="0.2">
      <c r="A3" s="7" t="s">
        <v>68</v>
      </c>
      <c r="B3" s="322" t="str">
        <f>'3.A.1 Emissie inventaris'!B4</f>
        <v xml:space="preserve">Kreeft Participaties B.V. (Kreeft) </v>
      </c>
      <c r="C3" s="322"/>
      <c r="D3" s="322"/>
      <c r="E3" s="322"/>
    </row>
    <row r="4" spans="1:9" ht="19" x14ac:dyDescent="0.2">
      <c r="A4" s="7" t="s">
        <v>69</v>
      </c>
      <c r="B4" s="322"/>
      <c r="C4" s="322"/>
      <c r="D4" s="322"/>
      <c r="E4" s="322"/>
    </row>
    <row r="5" spans="1:9" ht="19" x14ac:dyDescent="0.2">
      <c r="A5" s="7" t="s">
        <v>15</v>
      </c>
      <c r="B5" s="322" t="s">
        <v>93</v>
      </c>
      <c r="C5" s="322"/>
      <c r="D5" s="322"/>
      <c r="E5" s="322"/>
    </row>
    <row r="6" spans="1:9" ht="19" x14ac:dyDescent="0.2">
      <c r="A6" s="7" t="s">
        <v>16</v>
      </c>
      <c r="B6" s="322" t="s">
        <v>72</v>
      </c>
      <c r="C6" s="322"/>
      <c r="D6" s="322"/>
      <c r="E6" s="322"/>
    </row>
    <row r="7" spans="1:9" ht="19" x14ac:dyDescent="0.2">
      <c r="A7" s="7" t="s">
        <v>70</v>
      </c>
      <c r="B7" s="322" t="s">
        <v>100</v>
      </c>
      <c r="C7" s="322"/>
      <c r="D7" s="322"/>
      <c r="E7" s="322"/>
    </row>
    <row r="8" spans="1:9" ht="19" x14ac:dyDescent="0.2">
      <c r="A8" s="7"/>
    </row>
    <row r="9" spans="1:9" s="21" customFormat="1" ht="17" x14ac:dyDescent="0.2">
      <c r="A9" s="22" t="s">
        <v>21</v>
      </c>
      <c r="B9" s="22" t="s">
        <v>48</v>
      </c>
      <c r="C9" s="22" t="s">
        <v>78</v>
      </c>
      <c r="D9" s="22" t="s">
        <v>0</v>
      </c>
      <c r="E9" s="22" t="s">
        <v>79</v>
      </c>
      <c r="F9" s="22" t="s">
        <v>80</v>
      </c>
      <c r="G9" s="22" t="s">
        <v>91</v>
      </c>
      <c r="H9" s="22" t="s">
        <v>6</v>
      </c>
      <c r="I9" s="28" t="s">
        <v>81</v>
      </c>
    </row>
    <row r="10" spans="1:9" ht="15" x14ac:dyDescent="0.2">
      <c r="A10" s="24" t="s">
        <v>159</v>
      </c>
      <c r="B10" s="25"/>
      <c r="C10" s="25"/>
      <c r="D10" s="25"/>
      <c r="E10" s="25"/>
      <c r="F10" s="25"/>
      <c r="G10" s="25"/>
      <c r="H10" s="25"/>
      <c r="I10" s="25"/>
    </row>
    <row r="11" spans="1:9" ht="16" x14ac:dyDescent="0.15">
      <c r="A11" s="3" t="s">
        <v>160</v>
      </c>
      <c r="B11" s="9">
        <v>1</v>
      </c>
      <c r="C11" s="90">
        <v>52591</v>
      </c>
      <c r="D11" s="8" t="s">
        <v>24</v>
      </c>
      <c r="E11" s="29">
        <v>3.23</v>
      </c>
      <c r="F11" s="9" t="s">
        <v>88</v>
      </c>
      <c r="G11" s="30">
        <f>C11*E11/1000</f>
        <v>169.86893000000001</v>
      </c>
      <c r="H11" s="38"/>
      <c r="I11" s="2"/>
    </row>
    <row r="12" spans="1:9" ht="15" x14ac:dyDescent="0.2">
      <c r="A12" s="24" t="s">
        <v>98</v>
      </c>
      <c r="B12" s="25"/>
      <c r="C12" s="25"/>
      <c r="D12" s="25"/>
      <c r="E12" s="25"/>
      <c r="F12" s="25"/>
      <c r="G12" s="25"/>
      <c r="H12" s="25"/>
      <c r="I12" s="25"/>
    </row>
    <row r="13" spans="1:9" ht="16" x14ac:dyDescent="0.15">
      <c r="A13" s="3" t="s">
        <v>161</v>
      </c>
      <c r="B13" s="14">
        <v>1</v>
      </c>
      <c r="C13" s="35">
        <v>273</v>
      </c>
      <c r="D13" s="9" t="s">
        <v>25</v>
      </c>
      <c r="E13" s="29">
        <v>1.806</v>
      </c>
      <c r="F13" s="9" t="s">
        <v>88</v>
      </c>
      <c r="G13" s="30">
        <f>C13*E13/1000</f>
        <v>0.49303800000000003</v>
      </c>
      <c r="H13" s="34"/>
      <c r="I13" s="2" t="s">
        <v>162</v>
      </c>
    </row>
    <row r="14" spans="1:9" ht="16" x14ac:dyDescent="0.15">
      <c r="A14" s="3" t="s">
        <v>168</v>
      </c>
      <c r="B14" s="14">
        <v>1</v>
      </c>
      <c r="C14" s="35">
        <v>714</v>
      </c>
      <c r="D14" s="9" t="s">
        <v>167</v>
      </c>
      <c r="E14" s="29">
        <v>1.7250000000000001</v>
      </c>
      <c r="F14" s="9" t="s">
        <v>88</v>
      </c>
      <c r="G14" s="30">
        <f>C14*E14/1000</f>
        <v>1.2316500000000001</v>
      </c>
      <c r="H14" s="34"/>
      <c r="I14" s="2"/>
    </row>
    <row r="15" spans="1:9" ht="16" x14ac:dyDescent="0.15">
      <c r="A15" s="3" t="s">
        <v>89</v>
      </c>
      <c r="B15" s="14">
        <v>1</v>
      </c>
      <c r="C15" s="35">
        <v>2662</v>
      </c>
      <c r="D15" s="9" t="s">
        <v>167</v>
      </c>
      <c r="E15" s="29">
        <v>2.74</v>
      </c>
      <c r="F15" s="9" t="s">
        <v>88</v>
      </c>
      <c r="G15" s="30">
        <f>C15*E15/1000</f>
        <v>7.2938800000000006</v>
      </c>
      <c r="H15" s="34"/>
      <c r="I15" s="2"/>
    </row>
    <row r="16" spans="1:9" ht="15" x14ac:dyDescent="0.2">
      <c r="A16" s="24" t="s">
        <v>83</v>
      </c>
      <c r="B16" s="25"/>
      <c r="C16" s="25"/>
      <c r="D16" s="25"/>
      <c r="E16" s="25"/>
      <c r="F16" s="25"/>
      <c r="G16" s="25"/>
      <c r="H16" s="25"/>
      <c r="I16" s="25"/>
    </row>
    <row r="17" spans="1:9" ht="16" x14ac:dyDescent="0.15">
      <c r="A17" s="3" t="s">
        <v>31</v>
      </c>
      <c r="B17" s="14">
        <v>2</v>
      </c>
      <c r="C17" s="137">
        <f>Meterstanden!G13</f>
        <v>19554</v>
      </c>
      <c r="D17" s="9" t="s">
        <v>2</v>
      </c>
      <c r="E17" s="9">
        <v>0</v>
      </c>
      <c r="F17" s="9" t="s">
        <v>85</v>
      </c>
      <c r="G17" s="30">
        <f>C17*E17/1000</f>
        <v>0</v>
      </c>
      <c r="H17" s="60"/>
      <c r="I17" s="2"/>
    </row>
    <row r="18" spans="1:9" ht="15" x14ac:dyDescent="0.2">
      <c r="A18" s="24" t="s">
        <v>84</v>
      </c>
      <c r="B18" s="25"/>
      <c r="C18" s="138"/>
      <c r="D18" s="25"/>
      <c r="E18" s="25"/>
      <c r="F18" s="25"/>
      <c r="G18" s="25"/>
      <c r="H18" s="25"/>
      <c r="I18" s="25"/>
    </row>
    <row r="19" spans="1:9" ht="16" x14ac:dyDescent="0.15">
      <c r="A19" s="3" t="s">
        <v>163</v>
      </c>
      <c r="B19" s="13">
        <v>1</v>
      </c>
      <c r="C19" s="136">
        <f>Meterstanden!I13</f>
        <v>9869</v>
      </c>
      <c r="D19" s="16" t="s">
        <v>87</v>
      </c>
      <c r="E19" s="16">
        <v>1.887</v>
      </c>
      <c r="F19" s="9" t="s">
        <v>86</v>
      </c>
      <c r="G19" s="30">
        <f>C19*E19/1000</f>
        <v>18.622803000000001</v>
      </c>
      <c r="H19" s="16"/>
      <c r="I19" s="2"/>
    </row>
    <row r="20" spans="1:9" ht="21" x14ac:dyDescent="0.2">
      <c r="A20" s="33" t="s">
        <v>13</v>
      </c>
      <c r="B20" s="31"/>
      <c r="C20" s="31"/>
      <c r="D20" s="31"/>
      <c r="E20" s="31"/>
      <c r="F20" s="31"/>
      <c r="G20" s="32">
        <f>SUM(G11:G19)</f>
        <v>197.51030100000003</v>
      </c>
      <c r="H20" s="39">
        <f>SUM(H11:H19)</f>
        <v>0</v>
      </c>
      <c r="I20" s="31"/>
    </row>
    <row r="22" spans="1:9" ht="16" x14ac:dyDescent="0.2">
      <c r="D22" s="41"/>
      <c r="E22" s="41"/>
      <c r="F22" s="44" t="s">
        <v>97</v>
      </c>
      <c r="G22" s="45"/>
    </row>
    <row r="23" spans="1:9" ht="16" x14ac:dyDescent="0.2">
      <c r="D23" s="41"/>
      <c r="E23" s="41"/>
      <c r="F23" s="42" t="s">
        <v>95</v>
      </c>
      <c r="G23" s="43">
        <f>G11+G13+G14+G15+G19</f>
        <v>197.51030100000003</v>
      </c>
    </row>
    <row r="24" spans="1:9" ht="16" x14ac:dyDescent="0.2">
      <c r="D24" s="41"/>
      <c r="E24" s="41"/>
      <c r="F24" s="46" t="s">
        <v>96</v>
      </c>
      <c r="G24" s="47">
        <f>G17</f>
        <v>0</v>
      </c>
    </row>
    <row r="25" spans="1:9" ht="16" x14ac:dyDescent="0.2">
      <c r="D25" s="321" t="s">
        <v>99</v>
      </c>
      <c r="E25" s="321"/>
      <c r="F25" s="321"/>
      <c r="G25" s="321"/>
    </row>
    <row r="26" spans="1:9" ht="16" x14ac:dyDescent="0.2">
      <c r="D26" s="321" t="s">
        <v>159</v>
      </c>
      <c r="E26" s="321"/>
      <c r="F26" s="321"/>
      <c r="G26" s="43">
        <f>G11</f>
        <v>169.86893000000001</v>
      </c>
    </row>
    <row r="27" spans="1:9" ht="16" x14ac:dyDescent="0.2">
      <c r="D27" s="321" t="s">
        <v>98</v>
      </c>
      <c r="E27" s="321"/>
      <c r="F27" s="321"/>
      <c r="G27" s="43">
        <f>G13+G14+G15</f>
        <v>9.0185680000000001</v>
      </c>
    </row>
    <row r="28" spans="1:9" ht="16" x14ac:dyDescent="0.2">
      <c r="D28" s="321" t="s">
        <v>83</v>
      </c>
      <c r="E28" s="321"/>
      <c r="F28" s="321"/>
      <c r="G28" s="43">
        <f>G17</f>
        <v>0</v>
      </c>
    </row>
    <row r="29" spans="1:9" ht="16" x14ac:dyDescent="0.2">
      <c r="D29" s="321" t="s">
        <v>84</v>
      </c>
      <c r="E29" s="321"/>
      <c r="F29" s="321"/>
      <c r="G29" s="43">
        <f>G19</f>
        <v>18.622803000000001</v>
      </c>
    </row>
  </sheetData>
  <mergeCells count="11">
    <mergeCell ref="B7:E7"/>
    <mergeCell ref="A1:I1"/>
    <mergeCell ref="B3:E3"/>
    <mergeCell ref="B4:E4"/>
    <mergeCell ref="B5:E5"/>
    <mergeCell ref="B6:E6"/>
    <mergeCell ref="D25:G25"/>
    <mergeCell ref="D26:F26"/>
    <mergeCell ref="D27:F27"/>
    <mergeCell ref="D28:F28"/>
    <mergeCell ref="D29:F29"/>
  </mergeCells>
  <conditionalFormatting sqref="A13:A15">
    <cfRule type="expression" dxfId="142" priority="3">
      <formula>$C$12="nee"</formula>
    </cfRule>
  </conditionalFormatting>
  <conditionalFormatting sqref="A11:H11 G13:G15">
    <cfRule type="expression" dxfId="141" priority="5">
      <formula>#REF!="Nee"</formula>
    </cfRule>
  </conditionalFormatting>
  <conditionalFormatting sqref="A17:H17 A19:H19">
    <cfRule type="expression" dxfId="140" priority="2">
      <formula>#REF!="nee"</formula>
    </cfRule>
  </conditionalFormatting>
  <conditionalFormatting sqref="E11:F11 A13:H15">
    <cfRule type="expression" dxfId="139" priority="4">
      <formula>#REF!="nee"</formula>
    </cfRule>
  </conditionalFormatting>
  <conditionalFormatting sqref="G17 G19">
    <cfRule type="expression" dxfId="138" priority="1">
      <formula>#REF!="Nee"</formula>
    </cfRule>
  </conditionalFormatting>
  <hyperlinks>
    <hyperlink ref="A19" location="Aardgas!A1" display="Aardgas voor verwarming " xr:uid="{00000000-0004-0000-0800-000000000000}"/>
    <hyperlink ref="A13" location="'Mobiele werktuigen'!A1" display="Materieel (mobiele werktuigen): diesel" xr:uid="{00000000-0004-0000-0800-000001000000}"/>
    <hyperlink ref="A11" location="Dieselverbruik!A1" display="Dieselverbruik bussen" xr:uid="{00000000-0004-0000-0800-000002000000}"/>
    <hyperlink ref="A17" location="Elektriciteit!A1" display="Grijze stroom Brakel" xr:uid="{00000000-0004-0000-0800-000003000000}"/>
  </hyperlinks>
  <pageMargins left="0.23622047244094491" right="0.23622047244094491" top="0.74803149606299213" bottom="0.74803149606299213" header="0.31496062992125984" footer="0.31496062992125984"/>
  <pageSetup paperSize="9" scale="45" orientation="landscape" r:id="rId1"/>
  <headerFooter>
    <oddHeader>&amp;R&amp;G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9BD50E46761848953159C910E6570B" ma:contentTypeVersion="15" ma:contentTypeDescription="Create a new document." ma:contentTypeScope="" ma:versionID="456c34a48656111bf0a82597fe553e12">
  <xsd:schema xmlns:xsd="http://www.w3.org/2001/XMLSchema" xmlns:xs="http://www.w3.org/2001/XMLSchema" xmlns:p="http://schemas.microsoft.com/office/2006/metadata/properties" xmlns:ns2="81433c69-d3ab-42c9-b180-00e674d5d2e0" xmlns:ns3="1b426bd2-8311-4a33-96c9-58f893819270" targetNamespace="http://schemas.microsoft.com/office/2006/metadata/properties" ma:root="true" ma:fieldsID="e5299ccc1f47d9b0be89533f02685699" ns2:_="" ns3:_="">
    <xsd:import namespace="81433c69-d3ab-42c9-b180-00e674d5d2e0"/>
    <xsd:import namespace="1b426bd2-8311-4a33-96c9-58f8938192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33c69-d3ab-42c9-b180-00e674d5d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6e8332-4871-419e-9972-b4bfc2affa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426bd2-8311-4a33-96c9-58f8938192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b08b5a8-2249-473b-b4ca-b15bddb00e45}" ma:internalName="TaxCatchAll" ma:showField="CatchAllData" ma:web="1b426bd2-8311-4a33-96c9-58f8938192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b426bd2-8311-4a33-96c9-58f893819270" xsi:nil="true"/>
    <lcf76f155ced4ddcb4097134ff3c332f xmlns="81433c69-d3ab-42c9-b180-00e674d5d2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E1C506-D858-4A43-B9AD-10DDD27B1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33c69-d3ab-42c9-b180-00e674d5d2e0"/>
    <ds:schemaRef ds:uri="1b426bd2-8311-4a33-96c9-58f893819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F7A36-D17C-48D4-95D8-354F8CF15105}">
  <ds:schemaRefs>
    <ds:schemaRef ds:uri="http://purl.org/dc/elements/1.1/"/>
    <ds:schemaRef ds:uri="81433c69-d3ab-42c9-b180-00e674d5d2e0"/>
    <ds:schemaRef ds:uri="http://purl.org/dc/terms/"/>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1b426bd2-8311-4a33-96c9-58f893819270"/>
    <ds:schemaRef ds:uri="http://schemas.microsoft.com/office/2006/metadata/properties"/>
  </ds:schemaRefs>
</ds:datastoreItem>
</file>

<file path=customXml/itemProps3.xml><?xml version="1.0" encoding="utf-8"?>
<ds:datastoreItem xmlns:ds="http://schemas.openxmlformats.org/officeDocument/2006/customXml" ds:itemID="{3EA21685-C22B-44D9-97C2-50BDAFF826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Werkbladen</vt:lpstr>
      </vt:variant>
      <vt:variant>
        <vt:i4>28</vt:i4>
      </vt:variant>
      <vt:variant>
        <vt:lpstr>Benoemde bereiken</vt:lpstr>
      </vt:variant>
      <vt:variant>
        <vt:i4>5</vt:i4>
      </vt:variant>
    </vt:vector>
  </HeadingPairs>
  <TitlesOfParts>
    <vt:vector size="33" baseType="lpstr">
      <vt:lpstr>Uitleg</vt:lpstr>
      <vt:lpstr>Energiestromen</vt:lpstr>
      <vt:lpstr>3.A.1 Emissie inventaris</vt:lpstr>
      <vt:lpstr>Footprint 2012</vt:lpstr>
      <vt:lpstr>Footprint 2013-H1</vt:lpstr>
      <vt:lpstr>Footprint 2013</vt:lpstr>
      <vt:lpstr>Footprint 2014-H1</vt:lpstr>
      <vt:lpstr>Footprint 2014</vt:lpstr>
      <vt:lpstr>Footprint 2015-H1</vt:lpstr>
      <vt:lpstr>Footprint 2015</vt:lpstr>
      <vt:lpstr>Footprint 2016-H1</vt:lpstr>
      <vt:lpstr>Footprint 2016</vt:lpstr>
      <vt:lpstr>Footprint 2017- H1</vt:lpstr>
      <vt:lpstr>Footprint 2017</vt:lpstr>
      <vt:lpstr>Footprint 2018 H1</vt:lpstr>
      <vt:lpstr>Footprint 2018</vt:lpstr>
      <vt:lpstr>Footprint 2019 h1</vt:lpstr>
      <vt:lpstr>Footprint 2019</vt:lpstr>
      <vt:lpstr>Footprint 2020</vt:lpstr>
      <vt:lpstr>Footprint 2021</vt:lpstr>
      <vt:lpstr>Footprint 2022</vt:lpstr>
      <vt:lpstr>Footprint 2023</vt:lpstr>
      <vt:lpstr>Footprint 2024</vt:lpstr>
      <vt:lpstr>Infographic</vt:lpstr>
      <vt:lpstr>Trendlijn</vt:lpstr>
      <vt:lpstr>Brandstof</vt:lpstr>
      <vt:lpstr>Meterstanden</vt:lpstr>
      <vt:lpstr>Elektra en gas 2012</vt:lpstr>
      <vt:lpstr>'3.A.1 Emissie inventaris'!_GoBack</vt:lpstr>
      <vt:lpstr>Aanwezig</vt:lpstr>
      <vt:lpstr>'Elektra en gas 2012'!Afdrukbereik</vt:lpstr>
      <vt:lpstr>Infographic!Afdrukbereik</vt:lpstr>
      <vt:lpstr>Meterstanden!Afdrukbereik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Jan Prins</dc:creator>
  <cp:lastModifiedBy>Matthijs Beumer</cp:lastModifiedBy>
  <cp:lastPrinted>2025-10-21T12:31:57Z</cp:lastPrinted>
  <dcterms:created xsi:type="dcterms:W3CDTF">2014-09-23T06:39:53Z</dcterms:created>
  <dcterms:modified xsi:type="dcterms:W3CDTF">2025-10-30T08:36:30Z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0x010100D99BD50E46761848953159C910E6570B</vt:lpwstr>
  </property>
  <property fmtid="{D5CDD505-2E9C-101B-9397-08002B2CF9AE}" pid="3" name="MediaServiceImageTags">
    <vt:lpwstr/>
  </property>
</Properties>
</file>